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Harvard\Thesis Research\"/>
    </mc:Choice>
  </mc:AlternateContent>
  <xr:revisionPtr revIDLastSave="0" documentId="13_ncr:1_{B51600DE-2A54-4F4A-B133-000DC3FA17C4}" xr6:coauthVersionLast="44" xr6:coauthVersionMax="44" xr10:uidLastSave="{00000000-0000-0000-0000-000000000000}"/>
  <bookViews>
    <workbookView xWindow="2535" yWindow="6345" windowWidth="23295" windowHeight="8700" xr2:uid="{C7263B3D-F0AB-4E8E-97B1-C3F7BC7C9E7A}"/>
  </bookViews>
  <sheets>
    <sheet name="Baseline Lead-Acid Battery" sheetId="1" r:id="rId1"/>
    <sheet name="Lithium-Ion Battery Storage" sheetId="4" r:id="rId2"/>
    <sheet name="Pumped Hydro Storage" sheetId="5" r:id="rId3"/>
    <sheet name="Graphs" sheetId="8" r:id="rId4"/>
    <sheet name="Graph Data &amp; Sensitivy Analysis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6" i="1" l="1"/>
  <c r="B87" i="1"/>
  <c r="B87" i="4"/>
  <c r="B31" i="1"/>
  <c r="B26" i="7" s="1"/>
  <c r="B31" i="4"/>
  <c r="B31" i="5"/>
  <c r="B152" i="5" l="1"/>
  <c r="AG152" i="5" s="1"/>
  <c r="B110" i="5"/>
  <c r="AG110" i="5" s="1"/>
  <c r="B88" i="5"/>
  <c r="B64" i="5"/>
  <c r="B47" i="7" s="1"/>
  <c r="AG64" i="5"/>
  <c r="B94" i="1"/>
  <c r="B73" i="1"/>
  <c r="B93" i="4"/>
  <c r="B72" i="4"/>
  <c r="C73" i="4"/>
  <c r="D73" i="4" s="1"/>
  <c r="E73" i="4" s="1"/>
  <c r="F73" i="4" s="1"/>
  <c r="G73" i="4" s="1"/>
  <c r="H73" i="4" s="1"/>
  <c r="I73" i="4" s="1"/>
  <c r="J73" i="4" s="1"/>
  <c r="K73" i="4" s="1"/>
  <c r="L73" i="4" s="1"/>
  <c r="M73" i="4" s="1"/>
  <c r="N73" i="4" s="1"/>
  <c r="O73" i="4" s="1"/>
  <c r="P73" i="4" s="1"/>
  <c r="Q73" i="4" s="1"/>
  <c r="R73" i="4" s="1"/>
  <c r="S73" i="4" s="1"/>
  <c r="T73" i="4" s="1"/>
  <c r="U73" i="4" s="1"/>
  <c r="V73" i="4" s="1"/>
  <c r="W73" i="4" s="1"/>
  <c r="X73" i="4" s="1"/>
  <c r="Y73" i="4" s="1"/>
  <c r="Z73" i="4" s="1"/>
  <c r="AA73" i="4" s="1"/>
  <c r="AB73" i="4" s="1"/>
  <c r="AC73" i="4" s="1"/>
  <c r="AD73" i="4" s="1"/>
  <c r="AE73" i="4" s="1"/>
  <c r="AF73" i="4" s="1"/>
  <c r="B49" i="4"/>
  <c r="B40" i="7" s="1"/>
  <c r="AG49" i="4"/>
  <c r="B34" i="5"/>
  <c r="C33" i="5"/>
  <c r="D33" i="5" s="1"/>
  <c r="D34" i="5" s="1"/>
  <c r="B32" i="5"/>
  <c r="C32" i="5" s="1"/>
  <c r="D32" i="5" s="1"/>
  <c r="E32" i="5" s="1"/>
  <c r="AG31" i="5"/>
  <c r="B30" i="5"/>
  <c r="AG30" i="5" s="1"/>
  <c r="AG28" i="5"/>
  <c r="B16" i="5"/>
  <c r="C16" i="5" s="1"/>
  <c r="D16" i="5" s="1"/>
  <c r="B15" i="5"/>
  <c r="AG15" i="5" s="1"/>
  <c r="AG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9" i="5"/>
  <c r="B17" i="5" s="1"/>
  <c r="C17" i="5" s="1"/>
  <c r="D17" i="5" s="1"/>
  <c r="E17" i="5" s="1"/>
  <c r="F17" i="5" s="1"/>
  <c r="G17" i="5" s="1"/>
  <c r="H17" i="5" s="1"/>
  <c r="I17" i="5" s="1"/>
  <c r="J17" i="5" s="1"/>
  <c r="K17" i="5" s="1"/>
  <c r="L17" i="5" s="1"/>
  <c r="M17" i="5" s="1"/>
  <c r="N17" i="5" s="1"/>
  <c r="O17" i="5" s="1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AD17" i="5" s="1"/>
  <c r="AE17" i="5" s="1"/>
  <c r="AF17" i="5" s="1"/>
  <c r="C5" i="5"/>
  <c r="D5" i="5" s="1"/>
  <c r="E5" i="5" s="1"/>
  <c r="F5" i="5" s="1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AD5" i="5" s="1"/>
  <c r="AE5" i="5" s="1"/>
  <c r="AF5" i="5" s="1"/>
  <c r="C4" i="5"/>
  <c r="D4" i="5" s="1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V4" i="5" s="1"/>
  <c r="W4" i="5" s="1"/>
  <c r="X4" i="5" s="1"/>
  <c r="Y4" i="5" s="1"/>
  <c r="Z4" i="5" s="1"/>
  <c r="AA4" i="5" s="1"/>
  <c r="AB4" i="5" s="1"/>
  <c r="AC4" i="5" s="1"/>
  <c r="AD4" i="5" s="1"/>
  <c r="AE4" i="5" s="1"/>
  <c r="AF4" i="5" s="1"/>
  <c r="B34" i="4"/>
  <c r="B27" i="4" s="1"/>
  <c r="AG27" i="4" s="1"/>
  <c r="C33" i="4"/>
  <c r="C34" i="4" s="1"/>
  <c r="B32" i="4"/>
  <c r="C32" i="4" s="1"/>
  <c r="D32" i="4" s="1"/>
  <c r="E32" i="4" s="1"/>
  <c r="AG31" i="4"/>
  <c r="AG30" i="4"/>
  <c r="B30" i="4"/>
  <c r="AG28" i="4"/>
  <c r="B16" i="4"/>
  <c r="C16" i="4" s="1"/>
  <c r="D16" i="4" s="1"/>
  <c r="B15" i="4"/>
  <c r="AG15" i="4" s="1"/>
  <c r="AG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9" i="4"/>
  <c r="B17" i="4" s="1"/>
  <c r="C17" i="4" s="1"/>
  <c r="D17" i="4" s="1"/>
  <c r="E17" i="4" s="1"/>
  <c r="F17" i="4" s="1"/>
  <c r="G17" i="4" s="1"/>
  <c r="H17" i="4" s="1"/>
  <c r="I17" i="4" s="1"/>
  <c r="J17" i="4" s="1"/>
  <c r="K17" i="4" s="1"/>
  <c r="L17" i="4" s="1"/>
  <c r="M17" i="4" s="1"/>
  <c r="N17" i="4" s="1"/>
  <c r="O17" i="4" s="1"/>
  <c r="P17" i="4" s="1"/>
  <c r="Q17" i="4" s="1"/>
  <c r="R17" i="4" s="1"/>
  <c r="S17" i="4" s="1"/>
  <c r="T17" i="4" s="1"/>
  <c r="U17" i="4" s="1"/>
  <c r="V17" i="4" s="1"/>
  <c r="W17" i="4" s="1"/>
  <c r="X17" i="4" s="1"/>
  <c r="Y17" i="4" s="1"/>
  <c r="Z17" i="4" s="1"/>
  <c r="AA17" i="4" s="1"/>
  <c r="AB17" i="4" s="1"/>
  <c r="AC17" i="4" s="1"/>
  <c r="AD17" i="4" s="1"/>
  <c r="AE17" i="4" s="1"/>
  <c r="AF17" i="4" s="1"/>
  <c r="C5" i="4"/>
  <c r="D5" i="4" s="1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V5" i="4" s="1"/>
  <c r="W5" i="4" s="1"/>
  <c r="X5" i="4" s="1"/>
  <c r="Y5" i="4" s="1"/>
  <c r="Z5" i="4" s="1"/>
  <c r="AA5" i="4" s="1"/>
  <c r="AB5" i="4" s="1"/>
  <c r="AC5" i="4" s="1"/>
  <c r="AD5" i="4" s="1"/>
  <c r="AE5" i="4" s="1"/>
  <c r="AF5" i="4" s="1"/>
  <c r="C4" i="4"/>
  <c r="D4" i="4" s="1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B93" i="1"/>
  <c r="B72" i="1"/>
  <c r="B49" i="1"/>
  <c r="B50" i="1"/>
  <c r="C50" i="1" s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31" i="1"/>
  <c r="B15" i="1"/>
  <c r="B35" i="4" l="1"/>
  <c r="B36" i="4"/>
  <c r="C20" i="5"/>
  <c r="C34" i="5"/>
  <c r="B35" i="5"/>
  <c r="V35" i="5" s="1"/>
  <c r="B27" i="5"/>
  <c r="AG27" i="5" s="1"/>
  <c r="AG15" i="1"/>
  <c r="B19" i="7"/>
  <c r="AG49" i="1"/>
  <c r="B33" i="7"/>
  <c r="B11" i="5"/>
  <c r="B13" i="5"/>
  <c r="B14" i="5" s="1"/>
  <c r="AG14" i="5" s="1"/>
  <c r="C94" i="1"/>
  <c r="D94" i="1" s="1"/>
  <c r="E94" i="1" s="1"/>
  <c r="F94" i="1" s="1"/>
  <c r="G94" i="1" s="1"/>
  <c r="H94" i="1" s="1"/>
  <c r="I94" i="1" s="1"/>
  <c r="J94" i="1" s="1"/>
  <c r="K94" i="1" s="1"/>
  <c r="L94" i="1" s="1"/>
  <c r="M94" i="1" s="1"/>
  <c r="N94" i="1" s="1"/>
  <c r="O94" i="1" s="1"/>
  <c r="P94" i="1" s="1"/>
  <c r="Q94" i="1" s="1"/>
  <c r="R94" i="1" s="1"/>
  <c r="S94" i="1" s="1"/>
  <c r="T94" i="1" s="1"/>
  <c r="U94" i="1" s="1"/>
  <c r="V94" i="1" s="1"/>
  <c r="W94" i="1" s="1"/>
  <c r="X94" i="1" s="1"/>
  <c r="Y94" i="1" s="1"/>
  <c r="Z94" i="1" s="1"/>
  <c r="AA94" i="1" s="1"/>
  <c r="AB94" i="1" s="1"/>
  <c r="AC94" i="1" s="1"/>
  <c r="AD94" i="1" s="1"/>
  <c r="AE94" i="1" s="1"/>
  <c r="AF94" i="1" s="1"/>
  <c r="C73" i="1"/>
  <c r="D73" i="1" s="1"/>
  <c r="E73" i="1" s="1"/>
  <c r="F73" i="1" s="1"/>
  <c r="G73" i="1" s="1"/>
  <c r="H73" i="1" s="1"/>
  <c r="I73" i="1" s="1"/>
  <c r="J73" i="1" s="1"/>
  <c r="K73" i="1" s="1"/>
  <c r="L73" i="1" s="1"/>
  <c r="M73" i="1" s="1"/>
  <c r="N73" i="1" s="1"/>
  <c r="O73" i="1" s="1"/>
  <c r="P73" i="1" s="1"/>
  <c r="Q73" i="1" s="1"/>
  <c r="R73" i="1" s="1"/>
  <c r="S73" i="1" s="1"/>
  <c r="T73" i="1" s="1"/>
  <c r="U73" i="1" s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AG73" i="4"/>
  <c r="B13" i="4"/>
  <c r="B14" i="4" s="1"/>
  <c r="AG14" i="4" s="1"/>
  <c r="D33" i="4"/>
  <c r="D34" i="4" s="1"/>
  <c r="B11" i="4"/>
  <c r="AG11" i="4" s="1"/>
  <c r="C20" i="4"/>
  <c r="E16" i="5"/>
  <c r="F16" i="5" s="1"/>
  <c r="G16" i="5" s="1"/>
  <c r="D20" i="5"/>
  <c r="B18" i="5"/>
  <c r="F32" i="5"/>
  <c r="E36" i="5"/>
  <c r="AD35" i="5"/>
  <c r="Z35" i="5"/>
  <c r="R35" i="5"/>
  <c r="J35" i="5"/>
  <c r="AC35" i="5"/>
  <c r="Y35" i="5"/>
  <c r="Q35" i="5"/>
  <c r="M35" i="5"/>
  <c r="I35" i="5"/>
  <c r="AF35" i="5"/>
  <c r="AB35" i="5"/>
  <c r="X35" i="5"/>
  <c r="P35" i="5"/>
  <c r="L35" i="5"/>
  <c r="H35" i="5"/>
  <c r="AA35" i="5"/>
  <c r="K35" i="5"/>
  <c r="W35" i="5"/>
  <c r="AE35" i="5"/>
  <c r="E33" i="5"/>
  <c r="C35" i="5"/>
  <c r="D36" i="5"/>
  <c r="O35" i="5"/>
  <c r="S35" i="5"/>
  <c r="C36" i="5"/>
  <c r="B36" i="5"/>
  <c r="E16" i="4"/>
  <c r="F16" i="4" s="1"/>
  <c r="G16" i="4" s="1"/>
  <c r="H16" i="4" s="1"/>
  <c r="D20" i="4"/>
  <c r="B39" i="4"/>
  <c r="B37" i="4"/>
  <c r="F32" i="4"/>
  <c r="E36" i="4"/>
  <c r="AC35" i="4"/>
  <c r="Y35" i="4"/>
  <c r="U35" i="4"/>
  <c r="Q35" i="4"/>
  <c r="M35" i="4"/>
  <c r="I35" i="4"/>
  <c r="E35" i="4"/>
  <c r="AF35" i="4"/>
  <c r="AB35" i="4"/>
  <c r="X35" i="4"/>
  <c r="T35" i="4"/>
  <c r="P35" i="4"/>
  <c r="L35" i="4"/>
  <c r="H35" i="4"/>
  <c r="D35" i="4"/>
  <c r="AE35" i="4"/>
  <c r="W35" i="4"/>
  <c r="O35" i="4"/>
  <c r="G35" i="4"/>
  <c r="AD35" i="4"/>
  <c r="V35" i="4"/>
  <c r="N35" i="4"/>
  <c r="F35" i="4"/>
  <c r="R35" i="4"/>
  <c r="C36" i="4"/>
  <c r="E20" i="4"/>
  <c r="B18" i="4"/>
  <c r="C35" i="4"/>
  <c r="S35" i="4"/>
  <c r="D36" i="4"/>
  <c r="B20" i="4"/>
  <c r="J35" i="4"/>
  <c r="Z35" i="4"/>
  <c r="K35" i="4"/>
  <c r="AA35" i="4"/>
  <c r="AG50" i="1"/>
  <c r="B34" i="7" s="1"/>
  <c r="G20" i="4" l="1"/>
  <c r="G35" i="5"/>
  <c r="D35" i="5"/>
  <c r="T35" i="5"/>
  <c r="E35" i="5"/>
  <c r="U35" i="5"/>
  <c r="N35" i="5"/>
  <c r="F35" i="5"/>
  <c r="E20" i="5"/>
  <c r="F20" i="5"/>
  <c r="B20" i="5"/>
  <c r="B23" i="5" s="1"/>
  <c r="AG11" i="5"/>
  <c r="AG94" i="1"/>
  <c r="AG73" i="1"/>
  <c r="E33" i="4"/>
  <c r="F33" i="4" s="1"/>
  <c r="F20" i="4"/>
  <c r="G32" i="5"/>
  <c r="F36" i="5"/>
  <c r="B39" i="5"/>
  <c r="B37" i="5"/>
  <c r="C18" i="5"/>
  <c r="D18" i="5" s="1"/>
  <c r="E18" i="5" s="1"/>
  <c r="F18" i="5" s="1"/>
  <c r="G18" i="5" s="1"/>
  <c r="H18" i="5" s="1"/>
  <c r="I18" i="5" s="1"/>
  <c r="J18" i="5" s="1"/>
  <c r="K18" i="5" s="1"/>
  <c r="L18" i="5" s="1"/>
  <c r="M18" i="5" s="1"/>
  <c r="N18" i="5" s="1"/>
  <c r="O18" i="5" s="1"/>
  <c r="P18" i="5" s="1"/>
  <c r="Q18" i="5" s="1"/>
  <c r="R18" i="5" s="1"/>
  <c r="S18" i="5" s="1"/>
  <c r="T18" i="5" s="1"/>
  <c r="U18" i="5" s="1"/>
  <c r="V18" i="5" s="1"/>
  <c r="W18" i="5" s="1"/>
  <c r="X18" i="5" s="1"/>
  <c r="Y18" i="5" s="1"/>
  <c r="Z18" i="5" s="1"/>
  <c r="AA18" i="5" s="1"/>
  <c r="AB18" i="5" s="1"/>
  <c r="AC18" i="5" s="1"/>
  <c r="AD18" i="5" s="1"/>
  <c r="AE18" i="5" s="1"/>
  <c r="AF18" i="5" s="1"/>
  <c r="B19" i="5"/>
  <c r="E34" i="5"/>
  <c r="F33" i="5"/>
  <c r="H16" i="5"/>
  <c r="G20" i="5"/>
  <c r="C18" i="4"/>
  <c r="D18" i="4" s="1"/>
  <c r="E18" i="4" s="1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Y18" i="4" s="1"/>
  <c r="Z18" i="4" s="1"/>
  <c r="AA18" i="4" s="1"/>
  <c r="AB18" i="4" s="1"/>
  <c r="AC18" i="4" s="1"/>
  <c r="AD18" i="4" s="1"/>
  <c r="AE18" i="4" s="1"/>
  <c r="AF18" i="4" s="1"/>
  <c r="B19" i="4"/>
  <c r="C37" i="4"/>
  <c r="B40" i="4"/>
  <c r="E34" i="4"/>
  <c r="F36" i="4"/>
  <c r="G32" i="4"/>
  <c r="B23" i="4"/>
  <c r="B21" i="4"/>
  <c r="H20" i="4"/>
  <c r="I16" i="4"/>
  <c r="C125" i="5"/>
  <c r="D125" i="5" s="1"/>
  <c r="E125" i="5" s="1"/>
  <c r="F125" i="5" s="1"/>
  <c r="G125" i="5" s="1"/>
  <c r="H125" i="5" s="1"/>
  <c r="I125" i="5" s="1"/>
  <c r="J125" i="5" s="1"/>
  <c r="K125" i="5" s="1"/>
  <c r="L125" i="5" s="1"/>
  <c r="M125" i="5" s="1"/>
  <c r="N125" i="5" s="1"/>
  <c r="O125" i="5" s="1"/>
  <c r="P125" i="5" s="1"/>
  <c r="Q125" i="5" s="1"/>
  <c r="R125" i="5" s="1"/>
  <c r="S125" i="5" s="1"/>
  <c r="T125" i="5" s="1"/>
  <c r="U125" i="5" s="1"/>
  <c r="V125" i="5" s="1"/>
  <c r="W125" i="5" s="1"/>
  <c r="X125" i="5" s="1"/>
  <c r="Y125" i="5" s="1"/>
  <c r="Z125" i="5" s="1"/>
  <c r="AA125" i="5" s="1"/>
  <c r="AB125" i="5" s="1"/>
  <c r="AC125" i="5" s="1"/>
  <c r="AD125" i="5" s="1"/>
  <c r="AE125" i="5" s="1"/>
  <c r="AF125" i="5" s="1"/>
  <c r="AG132" i="5"/>
  <c r="AG139" i="5"/>
  <c r="AG144" i="5"/>
  <c r="AG148" i="5"/>
  <c r="AG149" i="5"/>
  <c r="AG102" i="5"/>
  <c r="B43" i="4"/>
  <c r="B44" i="4" s="1"/>
  <c r="B43" i="1"/>
  <c r="B21" i="5" l="1"/>
  <c r="C21" i="5" s="1"/>
  <c r="H20" i="5"/>
  <c r="I16" i="5"/>
  <c r="AC19" i="5"/>
  <c r="Y19" i="5"/>
  <c r="U19" i="5"/>
  <c r="Q19" i="5"/>
  <c r="M19" i="5"/>
  <c r="I19" i="5"/>
  <c r="E19" i="5"/>
  <c r="AF19" i="5"/>
  <c r="AB19" i="5"/>
  <c r="X19" i="5"/>
  <c r="T19" i="5"/>
  <c r="P19" i="5"/>
  <c r="L19" i="5"/>
  <c r="H19" i="5"/>
  <c r="D19" i="5"/>
  <c r="Z19" i="5"/>
  <c r="R19" i="5"/>
  <c r="J19" i="5"/>
  <c r="AE19" i="5"/>
  <c r="W19" i="5"/>
  <c r="O19" i="5"/>
  <c r="G19" i="5"/>
  <c r="AD19" i="5"/>
  <c r="V19" i="5"/>
  <c r="N19" i="5"/>
  <c r="F19" i="5"/>
  <c r="AA19" i="5"/>
  <c r="S19" i="5"/>
  <c r="K19" i="5"/>
  <c r="C19" i="5"/>
  <c r="G36" i="5"/>
  <c r="H32" i="5"/>
  <c r="G33" i="5"/>
  <c r="F34" i="5"/>
  <c r="C37" i="5"/>
  <c r="B40" i="5"/>
  <c r="C39" i="4"/>
  <c r="D37" i="4"/>
  <c r="C40" i="4"/>
  <c r="G33" i="4"/>
  <c r="F34" i="4"/>
  <c r="J16" i="4"/>
  <c r="I20" i="4"/>
  <c r="G36" i="4"/>
  <c r="H32" i="4"/>
  <c r="AC19" i="4"/>
  <c r="Y19" i="4"/>
  <c r="U19" i="4"/>
  <c r="Q19" i="4"/>
  <c r="M19" i="4"/>
  <c r="I19" i="4"/>
  <c r="E19" i="4"/>
  <c r="AF19" i="4"/>
  <c r="AB19" i="4"/>
  <c r="X19" i="4"/>
  <c r="T19" i="4"/>
  <c r="P19" i="4"/>
  <c r="L19" i="4"/>
  <c r="H19" i="4"/>
  <c r="D19" i="4"/>
  <c r="AE19" i="4"/>
  <c r="W19" i="4"/>
  <c r="O19" i="4"/>
  <c r="G19" i="4"/>
  <c r="AD19" i="4"/>
  <c r="V19" i="4"/>
  <c r="N19" i="4"/>
  <c r="F19" i="4"/>
  <c r="AA19" i="4"/>
  <c r="S19" i="4"/>
  <c r="K19" i="4"/>
  <c r="C19" i="4"/>
  <c r="Z19" i="4"/>
  <c r="R19" i="4"/>
  <c r="J19" i="4"/>
  <c r="C21" i="4"/>
  <c r="B24" i="4"/>
  <c r="C43" i="4"/>
  <c r="D43" i="4" s="1"/>
  <c r="E43" i="4" s="1"/>
  <c r="F43" i="4" s="1"/>
  <c r="G43" i="4" s="1"/>
  <c r="H43" i="4" s="1"/>
  <c r="I43" i="4" s="1"/>
  <c r="J43" i="4" s="1"/>
  <c r="K43" i="4" s="1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X43" i="4" s="1"/>
  <c r="Y43" i="4" s="1"/>
  <c r="Z43" i="4" s="1"/>
  <c r="AA43" i="4" s="1"/>
  <c r="AB43" i="4" s="1"/>
  <c r="AC43" i="4" s="1"/>
  <c r="AD43" i="4" s="1"/>
  <c r="AE43" i="4" s="1"/>
  <c r="AF43" i="4" s="1"/>
  <c r="B111" i="5"/>
  <c r="B65" i="5"/>
  <c r="B153" i="5"/>
  <c r="B57" i="5"/>
  <c r="B43" i="5"/>
  <c r="B67" i="5" s="1"/>
  <c r="B68" i="5" s="1"/>
  <c r="B24" i="5" l="1"/>
  <c r="C39" i="5"/>
  <c r="D37" i="5"/>
  <c r="C40" i="5"/>
  <c r="J16" i="5"/>
  <c r="I20" i="5"/>
  <c r="F68" i="5"/>
  <c r="J68" i="5"/>
  <c r="N68" i="5"/>
  <c r="R68" i="5"/>
  <c r="V68" i="5"/>
  <c r="Z68" i="5"/>
  <c r="AD68" i="5"/>
  <c r="G68" i="5"/>
  <c r="K68" i="5"/>
  <c r="O68" i="5"/>
  <c r="S68" i="5"/>
  <c r="W68" i="5"/>
  <c r="AA68" i="5"/>
  <c r="AE68" i="5"/>
  <c r="H68" i="5"/>
  <c r="P68" i="5"/>
  <c r="X68" i="5"/>
  <c r="AF68" i="5"/>
  <c r="I68" i="5"/>
  <c r="Q68" i="5"/>
  <c r="Y68" i="5"/>
  <c r="C68" i="5"/>
  <c r="D68" i="5"/>
  <c r="L68" i="5"/>
  <c r="T68" i="5"/>
  <c r="AB68" i="5"/>
  <c r="E68" i="5"/>
  <c r="M68" i="5"/>
  <c r="U68" i="5"/>
  <c r="AC68" i="5"/>
  <c r="H33" i="5"/>
  <c r="G34" i="5"/>
  <c r="I32" i="5"/>
  <c r="H36" i="5"/>
  <c r="C23" i="5"/>
  <c r="C24" i="5"/>
  <c r="D21" i="5"/>
  <c r="G34" i="4"/>
  <c r="H33" i="4"/>
  <c r="I32" i="4"/>
  <c r="H36" i="4"/>
  <c r="K16" i="4"/>
  <c r="J20" i="4"/>
  <c r="D40" i="4"/>
  <c r="D39" i="4"/>
  <c r="E37" i="4"/>
  <c r="C24" i="4"/>
  <c r="D21" i="4"/>
  <c r="C23" i="4"/>
  <c r="AG61" i="5"/>
  <c r="C154" i="5"/>
  <c r="D154" i="5" s="1"/>
  <c r="C153" i="5"/>
  <c r="D153" i="5" s="1"/>
  <c r="E153" i="5" s="1"/>
  <c r="F153" i="5" s="1"/>
  <c r="G153" i="5" s="1"/>
  <c r="H153" i="5" s="1"/>
  <c r="I153" i="5" s="1"/>
  <c r="J153" i="5" s="1"/>
  <c r="K153" i="5" s="1"/>
  <c r="L153" i="5" s="1"/>
  <c r="M153" i="5" s="1"/>
  <c r="N153" i="5" s="1"/>
  <c r="O153" i="5" s="1"/>
  <c r="P153" i="5" s="1"/>
  <c r="Q153" i="5" s="1"/>
  <c r="R153" i="5" s="1"/>
  <c r="S153" i="5" s="1"/>
  <c r="T153" i="5" s="1"/>
  <c r="U153" i="5" s="1"/>
  <c r="V153" i="5" s="1"/>
  <c r="W153" i="5" s="1"/>
  <c r="X153" i="5" s="1"/>
  <c r="Y153" i="5" s="1"/>
  <c r="Z153" i="5" s="1"/>
  <c r="AA153" i="5" s="1"/>
  <c r="AB153" i="5" s="1"/>
  <c r="AC153" i="5" s="1"/>
  <c r="AD153" i="5" s="1"/>
  <c r="AE153" i="5" s="1"/>
  <c r="AF153" i="5" s="1"/>
  <c r="B151" i="5"/>
  <c r="AG151" i="5" s="1"/>
  <c r="AF145" i="5"/>
  <c r="AE145" i="5"/>
  <c r="AD145" i="5"/>
  <c r="AC145" i="5"/>
  <c r="AC157" i="5" s="1"/>
  <c r="AB145" i="5"/>
  <c r="AA145" i="5"/>
  <c r="Z145" i="5"/>
  <c r="Y145" i="5"/>
  <c r="Y157" i="5" s="1"/>
  <c r="X145" i="5"/>
  <c r="W145" i="5"/>
  <c r="V145" i="5"/>
  <c r="U145" i="5"/>
  <c r="U157" i="5" s="1"/>
  <c r="T145" i="5"/>
  <c r="S145" i="5"/>
  <c r="R145" i="5"/>
  <c r="R157" i="5" s="1"/>
  <c r="Q145" i="5"/>
  <c r="Q157" i="5" s="1"/>
  <c r="P145" i="5"/>
  <c r="O145" i="5"/>
  <c r="N145" i="5"/>
  <c r="N157" i="5" s="1"/>
  <c r="M145" i="5"/>
  <c r="M157" i="5" s="1"/>
  <c r="L145" i="5"/>
  <c r="K145" i="5"/>
  <c r="J145" i="5"/>
  <c r="J157" i="5" s="1"/>
  <c r="I145" i="5"/>
  <c r="I157" i="5" s="1"/>
  <c r="H145" i="5"/>
  <c r="G145" i="5"/>
  <c r="F145" i="5"/>
  <c r="F157" i="5" s="1"/>
  <c r="E145" i="5"/>
  <c r="E157" i="5" s="1"/>
  <c r="D145" i="5"/>
  <c r="C145" i="5"/>
  <c r="AF137" i="5"/>
  <c r="AE137" i="5"/>
  <c r="AD137" i="5"/>
  <c r="AC137" i="5"/>
  <c r="AB137" i="5"/>
  <c r="AA137" i="5"/>
  <c r="Z137" i="5"/>
  <c r="Y137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AF133" i="5"/>
  <c r="AE133" i="5"/>
  <c r="AD133" i="5"/>
  <c r="AC133" i="5"/>
  <c r="AB133" i="5"/>
  <c r="AA133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B133" i="5"/>
  <c r="B127" i="5"/>
  <c r="B128" i="5" s="1"/>
  <c r="B129" i="5" s="1"/>
  <c r="C126" i="5"/>
  <c r="D126" i="5" s="1"/>
  <c r="E126" i="5" s="1"/>
  <c r="F126" i="5" s="1"/>
  <c r="G126" i="5" s="1"/>
  <c r="H126" i="5" s="1"/>
  <c r="I126" i="5" s="1"/>
  <c r="J126" i="5" s="1"/>
  <c r="K126" i="5" s="1"/>
  <c r="L126" i="5" s="1"/>
  <c r="M126" i="5" s="1"/>
  <c r="N126" i="5" s="1"/>
  <c r="O126" i="5" s="1"/>
  <c r="P126" i="5" s="1"/>
  <c r="Q126" i="5" s="1"/>
  <c r="R126" i="5" s="1"/>
  <c r="S126" i="5" s="1"/>
  <c r="T126" i="5" s="1"/>
  <c r="U126" i="5" s="1"/>
  <c r="V126" i="5" s="1"/>
  <c r="W126" i="5" s="1"/>
  <c r="X126" i="5" s="1"/>
  <c r="Y126" i="5" s="1"/>
  <c r="Z126" i="5" s="1"/>
  <c r="AA126" i="5" s="1"/>
  <c r="AB126" i="5" s="1"/>
  <c r="AC126" i="5" s="1"/>
  <c r="AD126" i="5" s="1"/>
  <c r="AE126" i="5" s="1"/>
  <c r="AF126" i="5" s="1"/>
  <c r="C112" i="5"/>
  <c r="C113" i="5" s="1"/>
  <c r="B95" i="5"/>
  <c r="AG90" i="5"/>
  <c r="AG97" i="5"/>
  <c r="AG106" i="5"/>
  <c r="AG107" i="5"/>
  <c r="AG88" i="5"/>
  <c r="B84" i="5"/>
  <c r="B85" i="5" s="1"/>
  <c r="B86" i="5" s="1"/>
  <c r="B87" i="5" s="1"/>
  <c r="B109" i="5"/>
  <c r="AG109" i="5" s="1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B93" i="5" s="1"/>
  <c r="AG93" i="5" s="1"/>
  <c r="C83" i="5"/>
  <c r="D83" i="5" s="1"/>
  <c r="C82" i="5"/>
  <c r="D82" i="5" s="1"/>
  <c r="E82" i="5" s="1"/>
  <c r="F82" i="5" s="1"/>
  <c r="G82" i="5" s="1"/>
  <c r="H82" i="5" s="1"/>
  <c r="I82" i="5" s="1"/>
  <c r="J82" i="5" s="1"/>
  <c r="K82" i="5" s="1"/>
  <c r="L82" i="5" s="1"/>
  <c r="M82" i="5" s="1"/>
  <c r="N82" i="5" s="1"/>
  <c r="O82" i="5" s="1"/>
  <c r="P82" i="5" s="1"/>
  <c r="Q82" i="5" s="1"/>
  <c r="R82" i="5" s="1"/>
  <c r="S82" i="5" s="1"/>
  <c r="T82" i="5" s="1"/>
  <c r="U82" i="5" s="1"/>
  <c r="V82" i="5" s="1"/>
  <c r="W82" i="5" s="1"/>
  <c r="X82" i="5" s="1"/>
  <c r="Y82" i="5" s="1"/>
  <c r="Z82" i="5" s="1"/>
  <c r="AA82" i="5" s="1"/>
  <c r="AB82" i="5" s="1"/>
  <c r="AC82" i="5" s="1"/>
  <c r="AD82" i="5" s="1"/>
  <c r="AE82" i="5" s="1"/>
  <c r="AF82" i="5" s="1"/>
  <c r="C69" i="1"/>
  <c r="D69" i="1"/>
  <c r="F69" i="1"/>
  <c r="G69" i="1"/>
  <c r="I69" i="1"/>
  <c r="J69" i="1"/>
  <c r="L69" i="1"/>
  <c r="M69" i="1"/>
  <c r="O69" i="1"/>
  <c r="P69" i="1"/>
  <c r="R69" i="1"/>
  <c r="S69" i="1"/>
  <c r="U69" i="1"/>
  <c r="V69" i="1"/>
  <c r="X69" i="1"/>
  <c r="Y69" i="1"/>
  <c r="AA69" i="1"/>
  <c r="AB69" i="1"/>
  <c r="AD69" i="1"/>
  <c r="AE69" i="1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C95" i="4"/>
  <c r="C94" i="4"/>
  <c r="D94" i="4" s="1"/>
  <c r="E94" i="4" s="1"/>
  <c r="F94" i="4" s="1"/>
  <c r="C74" i="4"/>
  <c r="D74" i="4" s="1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C51" i="4"/>
  <c r="D51" i="4" s="1"/>
  <c r="E51" i="4" s="1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R51" i="4" s="1"/>
  <c r="S51" i="4" s="1"/>
  <c r="T51" i="4" s="1"/>
  <c r="U51" i="4" s="1"/>
  <c r="V51" i="4" s="1"/>
  <c r="W51" i="4" s="1"/>
  <c r="X51" i="4" s="1"/>
  <c r="Y51" i="4" s="1"/>
  <c r="Z51" i="4" s="1"/>
  <c r="AA51" i="4" s="1"/>
  <c r="AB51" i="4" s="1"/>
  <c r="AC51" i="4" s="1"/>
  <c r="AD51" i="4" s="1"/>
  <c r="AE51" i="4" s="1"/>
  <c r="AF51" i="4" s="1"/>
  <c r="C50" i="4"/>
  <c r="D50" i="4" s="1"/>
  <c r="B34" i="1"/>
  <c r="C33" i="1"/>
  <c r="D33" i="1" s="1"/>
  <c r="B32" i="1"/>
  <c r="B30" i="1"/>
  <c r="AG28" i="1"/>
  <c r="B16" i="1"/>
  <c r="C16" i="1" s="1"/>
  <c r="D16" i="1" s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9" i="1"/>
  <c r="B11" i="1" s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C4" i="1"/>
  <c r="AG60" i="5"/>
  <c r="AG53" i="5"/>
  <c r="C65" i="5"/>
  <c r="C69" i="5" s="1"/>
  <c r="B63" i="5"/>
  <c r="AG63" i="5" s="1"/>
  <c r="C66" i="5"/>
  <c r="B55" i="5"/>
  <c r="AG55" i="5" s="1"/>
  <c r="B58" i="5"/>
  <c r="B59" i="5" s="1"/>
  <c r="AG59" i="5" s="1"/>
  <c r="B52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B48" i="5"/>
  <c r="B49" i="5" s="1"/>
  <c r="AG49" i="5" s="1"/>
  <c r="B44" i="5"/>
  <c r="B45" i="5" s="1"/>
  <c r="D157" i="5" l="1"/>
  <c r="H157" i="5"/>
  <c r="L157" i="5"/>
  <c r="P157" i="5"/>
  <c r="T157" i="5"/>
  <c r="X157" i="5"/>
  <c r="AB157" i="5"/>
  <c r="AF157" i="5"/>
  <c r="V157" i="5"/>
  <c r="Z157" i="5"/>
  <c r="AD157" i="5"/>
  <c r="C157" i="5"/>
  <c r="G157" i="5"/>
  <c r="K157" i="5"/>
  <c r="O157" i="5"/>
  <c r="B35" i="1"/>
  <c r="D35" i="1" s="1"/>
  <c r="B27" i="1"/>
  <c r="B36" i="1" s="1"/>
  <c r="D24" i="5"/>
  <c r="D23" i="5"/>
  <c r="E21" i="5"/>
  <c r="J32" i="5"/>
  <c r="I36" i="5"/>
  <c r="D40" i="5"/>
  <c r="D39" i="5"/>
  <c r="E37" i="5"/>
  <c r="H34" i="5"/>
  <c r="I33" i="5"/>
  <c r="K16" i="5"/>
  <c r="J20" i="5"/>
  <c r="D23" i="4"/>
  <c r="D24" i="4"/>
  <c r="E21" i="4"/>
  <c r="J32" i="4"/>
  <c r="I36" i="4"/>
  <c r="H34" i="4"/>
  <c r="I33" i="4"/>
  <c r="E39" i="4"/>
  <c r="F37" i="4"/>
  <c r="E40" i="4"/>
  <c r="L16" i="4"/>
  <c r="K20" i="4"/>
  <c r="S157" i="5"/>
  <c r="W157" i="5"/>
  <c r="AA157" i="5"/>
  <c r="AE157" i="5"/>
  <c r="AB35" i="1"/>
  <c r="I35" i="1"/>
  <c r="Z35" i="1"/>
  <c r="B134" i="5"/>
  <c r="AG134" i="5" s="1"/>
  <c r="AG153" i="5"/>
  <c r="C76" i="4"/>
  <c r="C97" i="4"/>
  <c r="D76" i="4"/>
  <c r="C53" i="4"/>
  <c r="E50" i="4"/>
  <c r="D53" i="4"/>
  <c r="C20" i="1"/>
  <c r="AG30" i="1"/>
  <c r="D4" i="1"/>
  <c r="C43" i="1"/>
  <c r="C32" i="1"/>
  <c r="C36" i="1" s="1"/>
  <c r="E16" i="1"/>
  <c r="D20" i="1"/>
  <c r="AG11" i="1"/>
  <c r="B13" i="1"/>
  <c r="B14" i="1" s="1"/>
  <c r="AG12" i="1" s="1"/>
  <c r="D112" i="5"/>
  <c r="D113" i="5" s="1"/>
  <c r="B89" i="5"/>
  <c r="B131" i="5" s="1"/>
  <c r="AG131" i="5" s="1"/>
  <c r="C127" i="5"/>
  <c r="C128" i="5" s="1"/>
  <c r="C129" i="5" s="1"/>
  <c r="B96" i="5"/>
  <c r="B101" i="5" s="1"/>
  <c r="B113" i="5"/>
  <c r="B114" i="5" s="1"/>
  <c r="B155" i="5"/>
  <c r="B156" i="5" s="1"/>
  <c r="B130" i="5"/>
  <c r="E154" i="5"/>
  <c r="D155" i="5"/>
  <c r="C155" i="5"/>
  <c r="B135" i="5"/>
  <c r="AG135" i="5" s="1"/>
  <c r="B92" i="5"/>
  <c r="AG92" i="5" s="1"/>
  <c r="D84" i="5"/>
  <c r="D85" i="5" s="1"/>
  <c r="D86" i="5" s="1"/>
  <c r="C84" i="5"/>
  <c r="C85" i="5" s="1"/>
  <c r="C86" i="5" s="1"/>
  <c r="E83" i="5"/>
  <c r="E84" i="5" s="1"/>
  <c r="E85" i="5" s="1"/>
  <c r="C111" i="5"/>
  <c r="C115" i="5" s="1"/>
  <c r="G94" i="4"/>
  <c r="H94" i="4" s="1"/>
  <c r="I94" i="4" s="1"/>
  <c r="J94" i="4" s="1"/>
  <c r="K94" i="4" s="1"/>
  <c r="L94" i="4" s="1"/>
  <c r="M94" i="4" s="1"/>
  <c r="N94" i="4" s="1"/>
  <c r="O94" i="4" s="1"/>
  <c r="P94" i="4" s="1"/>
  <c r="Q94" i="4" s="1"/>
  <c r="R94" i="4" s="1"/>
  <c r="S94" i="4" s="1"/>
  <c r="T94" i="4" s="1"/>
  <c r="U94" i="4" s="1"/>
  <c r="V94" i="4" s="1"/>
  <c r="W94" i="4" s="1"/>
  <c r="X94" i="4" s="1"/>
  <c r="Y94" i="4" s="1"/>
  <c r="Z94" i="4" s="1"/>
  <c r="AA94" i="4" s="1"/>
  <c r="AB94" i="4" s="1"/>
  <c r="AC94" i="4" s="1"/>
  <c r="AD94" i="4" s="1"/>
  <c r="AE94" i="4" s="1"/>
  <c r="AF94" i="4" s="1"/>
  <c r="D95" i="4"/>
  <c r="E95" i="4" s="1"/>
  <c r="F95" i="4" s="1"/>
  <c r="G95" i="4" s="1"/>
  <c r="H95" i="4" s="1"/>
  <c r="I95" i="4" s="1"/>
  <c r="J95" i="4" s="1"/>
  <c r="K95" i="4" s="1"/>
  <c r="L95" i="4" s="1"/>
  <c r="M95" i="4" s="1"/>
  <c r="N95" i="4" s="1"/>
  <c r="O95" i="4" s="1"/>
  <c r="P95" i="4" s="1"/>
  <c r="Q95" i="4" s="1"/>
  <c r="R95" i="4" s="1"/>
  <c r="S95" i="4" s="1"/>
  <c r="T95" i="4" s="1"/>
  <c r="U95" i="4" s="1"/>
  <c r="V95" i="4" s="1"/>
  <c r="W95" i="4" s="1"/>
  <c r="X95" i="4" s="1"/>
  <c r="Y95" i="4" s="1"/>
  <c r="Z95" i="4" s="1"/>
  <c r="AA95" i="4" s="1"/>
  <c r="AB95" i="4" s="1"/>
  <c r="AC95" i="4" s="1"/>
  <c r="AD95" i="4" s="1"/>
  <c r="AE95" i="4" s="1"/>
  <c r="AF95" i="4" s="1"/>
  <c r="E74" i="4"/>
  <c r="F74" i="4" s="1"/>
  <c r="G74" i="4" s="1"/>
  <c r="H74" i="4" s="1"/>
  <c r="I74" i="4" s="1"/>
  <c r="J74" i="4" s="1"/>
  <c r="K74" i="4" s="1"/>
  <c r="L74" i="4" s="1"/>
  <c r="M74" i="4" s="1"/>
  <c r="N74" i="4" s="1"/>
  <c r="O74" i="4" s="1"/>
  <c r="P74" i="4" s="1"/>
  <c r="Q74" i="4" s="1"/>
  <c r="R74" i="4" s="1"/>
  <c r="S74" i="4" s="1"/>
  <c r="T74" i="4" s="1"/>
  <c r="U74" i="4" s="1"/>
  <c r="V74" i="4" s="1"/>
  <c r="W74" i="4" s="1"/>
  <c r="X74" i="4" s="1"/>
  <c r="Y74" i="4" s="1"/>
  <c r="Z74" i="4" s="1"/>
  <c r="AA74" i="4" s="1"/>
  <c r="AB74" i="4" s="1"/>
  <c r="AC74" i="4" s="1"/>
  <c r="AD74" i="4" s="1"/>
  <c r="AE74" i="4" s="1"/>
  <c r="AF74" i="4" s="1"/>
  <c r="AG51" i="4"/>
  <c r="E33" i="1"/>
  <c r="D34" i="1"/>
  <c r="C34" i="1"/>
  <c r="B17" i="1"/>
  <c r="B18" i="1" s="1"/>
  <c r="B19" i="1" s="1"/>
  <c r="AG57" i="5"/>
  <c r="D66" i="5"/>
  <c r="D65" i="5"/>
  <c r="B50" i="5"/>
  <c r="B46" i="5"/>
  <c r="C43" i="5"/>
  <c r="C44" i="5" s="1"/>
  <c r="C45" i="5" s="1"/>
  <c r="S35" i="1" l="1"/>
  <c r="AC35" i="1"/>
  <c r="V35" i="1"/>
  <c r="P35" i="1"/>
  <c r="AE35" i="1"/>
  <c r="Y35" i="1"/>
  <c r="R35" i="1"/>
  <c r="L35" i="1"/>
  <c r="D114" i="5"/>
  <c r="F114" i="5"/>
  <c r="K114" i="5"/>
  <c r="Q114" i="5"/>
  <c r="V114" i="5"/>
  <c r="AA114" i="5"/>
  <c r="C114" i="5"/>
  <c r="G114" i="5"/>
  <c r="M114" i="5"/>
  <c r="R114" i="5"/>
  <c r="W114" i="5"/>
  <c r="AC114" i="5"/>
  <c r="N114" i="5"/>
  <c r="S114" i="5"/>
  <c r="Y114" i="5"/>
  <c r="AD114" i="5"/>
  <c r="J114" i="5"/>
  <c r="U114" i="5"/>
  <c r="AE114" i="5"/>
  <c r="I114" i="5"/>
  <c r="E114" i="5"/>
  <c r="Z114" i="5"/>
  <c r="O114" i="5"/>
  <c r="T114" i="5"/>
  <c r="X114" i="5"/>
  <c r="AF114" i="5"/>
  <c r="P114" i="5"/>
  <c r="AB114" i="5"/>
  <c r="L114" i="5"/>
  <c r="H114" i="5"/>
  <c r="K35" i="1"/>
  <c r="M35" i="1"/>
  <c r="AF35" i="1"/>
  <c r="E156" i="5"/>
  <c r="D156" i="5"/>
  <c r="J156" i="5"/>
  <c r="O156" i="5"/>
  <c r="T156" i="5"/>
  <c r="Z156" i="5"/>
  <c r="AE156" i="5"/>
  <c r="N156" i="5"/>
  <c r="X156" i="5"/>
  <c r="F156" i="5"/>
  <c r="K156" i="5"/>
  <c r="P156" i="5"/>
  <c r="V156" i="5"/>
  <c r="AA156" i="5"/>
  <c r="AF156" i="5"/>
  <c r="G156" i="5"/>
  <c r="L156" i="5"/>
  <c r="R156" i="5"/>
  <c r="W156" i="5"/>
  <c r="AB156" i="5"/>
  <c r="H156" i="5"/>
  <c r="S156" i="5"/>
  <c r="AD156" i="5"/>
  <c r="U156" i="5"/>
  <c r="C156" i="5"/>
  <c r="Q156" i="5"/>
  <c r="AC156" i="5"/>
  <c r="M156" i="5"/>
  <c r="Y156" i="5"/>
  <c r="I156" i="5"/>
  <c r="B45" i="7"/>
  <c r="B69" i="5"/>
  <c r="B70" i="5" s="1"/>
  <c r="B73" i="5" s="1"/>
  <c r="W35" i="1"/>
  <c r="O35" i="1"/>
  <c r="J35" i="1"/>
  <c r="U35" i="1"/>
  <c r="E35" i="1"/>
  <c r="N35" i="1"/>
  <c r="X35" i="1"/>
  <c r="H35" i="1"/>
  <c r="G35" i="1"/>
  <c r="AA35" i="1"/>
  <c r="C35" i="1"/>
  <c r="Q35" i="1"/>
  <c r="AD35" i="1"/>
  <c r="F35" i="1"/>
  <c r="T35" i="1"/>
  <c r="B24" i="7"/>
  <c r="AG27" i="1"/>
  <c r="B17" i="7"/>
  <c r="K20" i="5"/>
  <c r="L16" i="5"/>
  <c r="K32" i="5"/>
  <c r="J36" i="5"/>
  <c r="I34" i="5"/>
  <c r="J33" i="5"/>
  <c r="E23" i="5"/>
  <c r="F21" i="5"/>
  <c r="E24" i="5"/>
  <c r="E39" i="5"/>
  <c r="F37" i="5"/>
  <c r="E40" i="5"/>
  <c r="M16" i="4"/>
  <c r="L20" i="4"/>
  <c r="E23" i="4"/>
  <c r="E24" i="4"/>
  <c r="F21" i="4"/>
  <c r="J36" i="4"/>
  <c r="K32" i="4"/>
  <c r="J33" i="4"/>
  <c r="I34" i="4"/>
  <c r="F39" i="4"/>
  <c r="G37" i="4"/>
  <c r="F40" i="4"/>
  <c r="E4" i="1"/>
  <c r="F4" i="1" s="1"/>
  <c r="AG130" i="5"/>
  <c r="AG46" i="5"/>
  <c r="E65" i="5"/>
  <c r="D69" i="5"/>
  <c r="AF97" i="4"/>
  <c r="F97" i="4"/>
  <c r="V97" i="4"/>
  <c r="S97" i="4"/>
  <c r="D97" i="4"/>
  <c r="T97" i="4"/>
  <c r="E97" i="4"/>
  <c r="U97" i="4"/>
  <c r="J97" i="4"/>
  <c r="Z97" i="4"/>
  <c r="G97" i="4"/>
  <c r="W97" i="4"/>
  <c r="H97" i="4"/>
  <c r="X97" i="4"/>
  <c r="I97" i="4"/>
  <c r="Y97" i="4"/>
  <c r="N97" i="4"/>
  <c r="AD97" i="4"/>
  <c r="K97" i="4"/>
  <c r="AA97" i="4"/>
  <c r="L97" i="4"/>
  <c r="AB97" i="4"/>
  <c r="M97" i="4"/>
  <c r="AC97" i="4"/>
  <c r="R97" i="4"/>
  <c r="O97" i="4"/>
  <c r="AE97" i="4"/>
  <c r="P97" i="4"/>
  <c r="Q97" i="4"/>
  <c r="E76" i="4"/>
  <c r="F50" i="4"/>
  <c r="E53" i="4"/>
  <c r="AG14" i="1"/>
  <c r="B39" i="1"/>
  <c r="B37" i="1"/>
  <c r="B20" i="1"/>
  <c r="B21" i="1" s="1"/>
  <c r="D43" i="1"/>
  <c r="D45" i="1" s="1"/>
  <c r="D32" i="1"/>
  <c r="D36" i="1" s="1"/>
  <c r="F16" i="1"/>
  <c r="E20" i="1"/>
  <c r="E112" i="5"/>
  <c r="E113" i="5" s="1"/>
  <c r="B98" i="5"/>
  <c r="B99" i="5"/>
  <c r="B100" i="5" s="1"/>
  <c r="AG100" i="5" s="1"/>
  <c r="C52" i="5"/>
  <c r="C95" i="5"/>
  <c r="AG50" i="5"/>
  <c r="B137" i="5"/>
  <c r="B104" i="5"/>
  <c r="B105" i="5" s="1"/>
  <c r="AG105" i="5" s="1"/>
  <c r="B103" i="5"/>
  <c r="AG103" i="5" s="1"/>
  <c r="E155" i="5"/>
  <c r="F154" i="5"/>
  <c r="D127" i="5"/>
  <c r="D128" i="5" s="1"/>
  <c r="D129" i="5" s="1"/>
  <c r="D111" i="5"/>
  <c r="E86" i="5"/>
  <c r="F83" i="5"/>
  <c r="F84" i="5" s="1"/>
  <c r="F85" i="5" s="1"/>
  <c r="AG95" i="4"/>
  <c r="AG94" i="4"/>
  <c r="AG74" i="4"/>
  <c r="C17" i="1"/>
  <c r="D17" i="1" s="1"/>
  <c r="E34" i="1"/>
  <c r="F33" i="1"/>
  <c r="E66" i="5"/>
  <c r="C67" i="5"/>
  <c r="D43" i="5"/>
  <c r="D67" i="5" s="1"/>
  <c r="B96" i="4"/>
  <c r="B66" i="4"/>
  <c r="B75" i="4" s="1"/>
  <c r="C86" i="4"/>
  <c r="D86" i="4" s="1"/>
  <c r="E86" i="4" s="1"/>
  <c r="F86" i="4" s="1"/>
  <c r="G86" i="4" s="1"/>
  <c r="H86" i="4" s="1"/>
  <c r="I86" i="4" s="1"/>
  <c r="J86" i="4" s="1"/>
  <c r="K86" i="4" s="1"/>
  <c r="L86" i="4" s="1"/>
  <c r="M86" i="4" s="1"/>
  <c r="N86" i="4" s="1"/>
  <c r="O86" i="4" s="1"/>
  <c r="P86" i="4" s="1"/>
  <c r="Q86" i="4" s="1"/>
  <c r="R86" i="4" s="1"/>
  <c r="S86" i="4" s="1"/>
  <c r="T86" i="4" s="1"/>
  <c r="U86" i="4" s="1"/>
  <c r="V86" i="4" s="1"/>
  <c r="W86" i="4" s="1"/>
  <c r="X86" i="4" s="1"/>
  <c r="Y86" i="4" s="1"/>
  <c r="Z86" i="4" s="1"/>
  <c r="AA86" i="4" s="1"/>
  <c r="AB86" i="4" s="1"/>
  <c r="AC86" i="4" s="1"/>
  <c r="AD86" i="4" s="1"/>
  <c r="AE86" i="4" s="1"/>
  <c r="AF86" i="4" s="1"/>
  <c r="C65" i="4"/>
  <c r="D65" i="4" s="1"/>
  <c r="E65" i="4" s="1"/>
  <c r="F65" i="4" s="1"/>
  <c r="G65" i="4" s="1"/>
  <c r="H65" i="4" s="1"/>
  <c r="I65" i="4" s="1"/>
  <c r="J65" i="4" s="1"/>
  <c r="K65" i="4" s="1"/>
  <c r="L65" i="4" s="1"/>
  <c r="M65" i="4" s="1"/>
  <c r="N65" i="4" s="1"/>
  <c r="O65" i="4" s="1"/>
  <c r="P65" i="4" s="1"/>
  <c r="Q65" i="4" s="1"/>
  <c r="R65" i="4" s="1"/>
  <c r="S65" i="4" s="1"/>
  <c r="T65" i="4" s="1"/>
  <c r="U65" i="4" s="1"/>
  <c r="V65" i="4" s="1"/>
  <c r="W65" i="4" s="1"/>
  <c r="X65" i="4" s="1"/>
  <c r="Y65" i="4" s="1"/>
  <c r="Z65" i="4" s="1"/>
  <c r="AA65" i="4" s="1"/>
  <c r="AB65" i="4" s="1"/>
  <c r="AC65" i="4" s="1"/>
  <c r="AD65" i="4" s="1"/>
  <c r="AE65" i="4" s="1"/>
  <c r="AF65" i="4" s="1"/>
  <c r="B96" i="1"/>
  <c r="C95" i="1"/>
  <c r="AE90" i="1"/>
  <c r="AD90" i="1"/>
  <c r="AB90" i="1"/>
  <c r="AA90" i="1"/>
  <c r="Y90" i="1"/>
  <c r="X90" i="1"/>
  <c r="V90" i="1"/>
  <c r="U90" i="1"/>
  <c r="S90" i="1"/>
  <c r="R90" i="1"/>
  <c r="P90" i="1"/>
  <c r="O90" i="1"/>
  <c r="M90" i="1"/>
  <c r="L90" i="1"/>
  <c r="J90" i="1"/>
  <c r="I90" i="1"/>
  <c r="G90" i="1"/>
  <c r="F90" i="1"/>
  <c r="D90" i="1"/>
  <c r="C90" i="1"/>
  <c r="C86" i="1"/>
  <c r="C74" i="1"/>
  <c r="D74" i="1" s="1"/>
  <c r="E74" i="1" s="1"/>
  <c r="F74" i="1" s="1"/>
  <c r="G74" i="1" s="1"/>
  <c r="H74" i="1" s="1"/>
  <c r="I74" i="1" s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T74" i="1" s="1"/>
  <c r="U74" i="1" s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B75" i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C65" i="1"/>
  <c r="C45" i="1"/>
  <c r="AG98" i="5" l="1"/>
  <c r="B115" i="5"/>
  <c r="B116" i="5" s="1"/>
  <c r="B119" i="5" s="1"/>
  <c r="F23" i="5"/>
  <c r="G21" i="5"/>
  <c r="F24" i="5"/>
  <c r="K36" i="5"/>
  <c r="L32" i="5"/>
  <c r="K33" i="5"/>
  <c r="J34" i="5"/>
  <c r="M16" i="5"/>
  <c r="L20" i="5"/>
  <c r="F39" i="5"/>
  <c r="G37" i="5"/>
  <c r="F40" i="5"/>
  <c r="K33" i="4"/>
  <c r="J34" i="4"/>
  <c r="G96" i="4"/>
  <c r="K96" i="4"/>
  <c r="O96" i="4"/>
  <c r="S96" i="4"/>
  <c r="W96" i="4"/>
  <c r="AA96" i="4"/>
  <c r="AE96" i="4"/>
  <c r="E96" i="4"/>
  <c r="I96" i="4"/>
  <c r="Q96" i="4"/>
  <c r="Y96" i="4"/>
  <c r="C96" i="4"/>
  <c r="N96" i="4"/>
  <c r="R96" i="4"/>
  <c r="Z96" i="4"/>
  <c r="D96" i="4"/>
  <c r="H96" i="4"/>
  <c r="L96" i="4"/>
  <c r="P96" i="4"/>
  <c r="T96" i="4"/>
  <c r="X96" i="4"/>
  <c r="AB96" i="4"/>
  <c r="AF96" i="4"/>
  <c r="M96" i="4"/>
  <c r="U96" i="4"/>
  <c r="AC96" i="4"/>
  <c r="F96" i="4"/>
  <c r="J96" i="4"/>
  <c r="V96" i="4"/>
  <c r="AD96" i="4"/>
  <c r="G39" i="4"/>
  <c r="H37" i="4"/>
  <c r="G40" i="4"/>
  <c r="K36" i="4"/>
  <c r="L32" i="4"/>
  <c r="G75" i="4"/>
  <c r="K75" i="4"/>
  <c r="O75" i="4"/>
  <c r="S75" i="4"/>
  <c r="W75" i="4"/>
  <c r="AA75" i="4"/>
  <c r="AE75" i="4"/>
  <c r="H75" i="4"/>
  <c r="M75" i="4"/>
  <c r="R75" i="4"/>
  <c r="X75" i="4"/>
  <c r="AC75" i="4"/>
  <c r="D75" i="4"/>
  <c r="I75" i="4"/>
  <c r="N75" i="4"/>
  <c r="T75" i="4"/>
  <c r="Y75" i="4"/>
  <c r="AD75" i="4"/>
  <c r="E75" i="4"/>
  <c r="J75" i="4"/>
  <c r="P75" i="4"/>
  <c r="U75" i="4"/>
  <c r="Z75" i="4"/>
  <c r="AF75" i="4"/>
  <c r="V75" i="4"/>
  <c r="F75" i="4"/>
  <c r="AB75" i="4"/>
  <c r="L75" i="4"/>
  <c r="C75" i="4"/>
  <c r="Q75" i="4"/>
  <c r="F23" i="4"/>
  <c r="G21" i="4"/>
  <c r="F24" i="4"/>
  <c r="N16" i="4"/>
  <c r="M20" i="4"/>
  <c r="E43" i="1"/>
  <c r="D65" i="1"/>
  <c r="C66" i="1"/>
  <c r="C68" i="1" s="1"/>
  <c r="D86" i="1"/>
  <c r="C87" i="1"/>
  <c r="C89" i="1" s="1"/>
  <c r="C76" i="1"/>
  <c r="U96" i="1"/>
  <c r="F96" i="1"/>
  <c r="J96" i="1"/>
  <c r="N96" i="1"/>
  <c r="R96" i="1"/>
  <c r="V96" i="1"/>
  <c r="Z96" i="1"/>
  <c r="AD96" i="1"/>
  <c r="I96" i="1"/>
  <c r="Y96" i="1"/>
  <c r="G96" i="1"/>
  <c r="K96" i="1"/>
  <c r="O96" i="1"/>
  <c r="S96" i="1"/>
  <c r="W96" i="1"/>
  <c r="AA96" i="1"/>
  <c r="AE96" i="1"/>
  <c r="M96" i="1"/>
  <c r="AC96" i="1"/>
  <c r="D96" i="1"/>
  <c r="H96" i="1"/>
  <c r="L96" i="1"/>
  <c r="P96" i="1"/>
  <c r="T96" i="1"/>
  <c r="X96" i="1"/>
  <c r="AB96" i="1"/>
  <c r="AF96" i="1"/>
  <c r="E96" i="1"/>
  <c r="Q96" i="1"/>
  <c r="C96" i="1"/>
  <c r="C21" i="1"/>
  <c r="D21" i="1" s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E75" i="1"/>
  <c r="I75" i="1"/>
  <c r="M75" i="1"/>
  <c r="Q75" i="1"/>
  <c r="U75" i="1"/>
  <c r="Y75" i="1"/>
  <c r="AC75" i="1"/>
  <c r="C75" i="1"/>
  <c r="D75" i="1"/>
  <c r="L75" i="1"/>
  <c r="T75" i="1"/>
  <c r="AB75" i="1"/>
  <c r="F75" i="1"/>
  <c r="J75" i="1"/>
  <c r="N75" i="1"/>
  <c r="R75" i="1"/>
  <c r="V75" i="1"/>
  <c r="Z75" i="1"/>
  <c r="AD75" i="1"/>
  <c r="G75" i="1"/>
  <c r="K75" i="1"/>
  <c r="O75" i="1"/>
  <c r="S75" i="1"/>
  <c r="W75" i="1"/>
  <c r="AA75" i="1"/>
  <c r="AE75" i="1"/>
  <c r="H75" i="1"/>
  <c r="P75" i="1"/>
  <c r="X75" i="1"/>
  <c r="AF75" i="1"/>
  <c r="C37" i="1"/>
  <c r="C40" i="1" s="1"/>
  <c r="B40" i="1"/>
  <c r="E17" i="1"/>
  <c r="B138" i="5"/>
  <c r="B140" i="5" s="1"/>
  <c r="E111" i="5"/>
  <c r="D115" i="5"/>
  <c r="B72" i="5"/>
  <c r="C70" i="5"/>
  <c r="F65" i="5"/>
  <c r="E69" i="5"/>
  <c r="F76" i="4"/>
  <c r="G50" i="4"/>
  <c r="F53" i="4"/>
  <c r="D76" i="1"/>
  <c r="B23" i="1"/>
  <c r="G4" i="1"/>
  <c r="F43" i="1"/>
  <c r="E32" i="1"/>
  <c r="E36" i="1" s="1"/>
  <c r="G16" i="1"/>
  <c r="F20" i="1"/>
  <c r="B88" i="1"/>
  <c r="B90" i="1" s="1"/>
  <c r="B89" i="1"/>
  <c r="B67" i="1"/>
  <c r="B68" i="1"/>
  <c r="B44" i="1"/>
  <c r="B46" i="1" s="1"/>
  <c r="B45" i="1"/>
  <c r="B52" i="1" s="1"/>
  <c r="F112" i="5"/>
  <c r="F113" i="5" s="1"/>
  <c r="AG99" i="5"/>
  <c r="C87" i="4"/>
  <c r="B89" i="4"/>
  <c r="B88" i="4"/>
  <c r="B91" i="4" s="1"/>
  <c r="B92" i="4" s="1"/>
  <c r="AG92" i="4" s="1"/>
  <c r="B67" i="4"/>
  <c r="AG67" i="4" s="1"/>
  <c r="B68" i="4"/>
  <c r="F155" i="5"/>
  <c r="G154" i="5"/>
  <c r="E127" i="5"/>
  <c r="E128" i="5" s="1"/>
  <c r="E129" i="5" s="1"/>
  <c r="D52" i="5"/>
  <c r="D95" i="5"/>
  <c r="G83" i="5"/>
  <c r="G84" i="5" s="1"/>
  <c r="G85" i="5" s="1"/>
  <c r="F86" i="5"/>
  <c r="B45" i="4"/>
  <c r="B52" i="4" s="1"/>
  <c r="G33" i="1"/>
  <c r="F34" i="1"/>
  <c r="F66" i="5"/>
  <c r="D44" i="5"/>
  <c r="D45" i="5" s="1"/>
  <c r="E43" i="5"/>
  <c r="E67" i="5" s="1"/>
  <c r="C66" i="4"/>
  <c r="D95" i="1"/>
  <c r="E95" i="1" s="1"/>
  <c r="F95" i="1" s="1"/>
  <c r="G95" i="1" s="1"/>
  <c r="H95" i="1" s="1"/>
  <c r="I95" i="1" s="1"/>
  <c r="J95" i="1" s="1"/>
  <c r="K95" i="1" s="1"/>
  <c r="L95" i="1" s="1"/>
  <c r="M95" i="1" s="1"/>
  <c r="N95" i="1" s="1"/>
  <c r="O95" i="1" s="1"/>
  <c r="P95" i="1" s="1"/>
  <c r="Q95" i="1" s="1"/>
  <c r="R95" i="1" s="1"/>
  <c r="S95" i="1" s="1"/>
  <c r="T95" i="1" s="1"/>
  <c r="U95" i="1" s="1"/>
  <c r="V95" i="1" s="1"/>
  <c r="W95" i="1" s="1"/>
  <c r="X95" i="1" s="1"/>
  <c r="Y95" i="1" s="1"/>
  <c r="Z95" i="1" s="1"/>
  <c r="AA95" i="1" s="1"/>
  <c r="AB95" i="1" s="1"/>
  <c r="AC95" i="1" s="1"/>
  <c r="AD95" i="1" s="1"/>
  <c r="AE95" i="1" s="1"/>
  <c r="AF95" i="1" s="1"/>
  <c r="B69" i="1" l="1"/>
  <c r="D37" i="1"/>
  <c r="D39" i="1" s="1"/>
  <c r="N16" i="5"/>
  <c r="M20" i="5"/>
  <c r="G39" i="5"/>
  <c r="H37" i="5"/>
  <c r="G40" i="5"/>
  <c r="L33" i="5"/>
  <c r="K34" i="5"/>
  <c r="G23" i="5"/>
  <c r="G24" i="5"/>
  <c r="H21" i="5"/>
  <c r="C72" i="5"/>
  <c r="C73" i="5"/>
  <c r="M32" i="5"/>
  <c r="L36" i="5"/>
  <c r="O16" i="4"/>
  <c r="N20" i="4"/>
  <c r="H40" i="4"/>
  <c r="H39" i="4"/>
  <c r="I37" i="4"/>
  <c r="AB52" i="4"/>
  <c r="T52" i="4"/>
  <c r="L52" i="4"/>
  <c r="E52" i="4"/>
  <c r="W52" i="4"/>
  <c r="AD52" i="4"/>
  <c r="AF52" i="4"/>
  <c r="U52" i="4"/>
  <c r="O52" i="4"/>
  <c r="AA52" i="4"/>
  <c r="Q52" i="4"/>
  <c r="K52" i="4"/>
  <c r="D52" i="4"/>
  <c r="AE52" i="4"/>
  <c r="P52" i="4"/>
  <c r="I52" i="4"/>
  <c r="G52" i="4"/>
  <c r="S52" i="4"/>
  <c r="F52" i="4"/>
  <c r="V52" i="4"/>
  <c r="X52" i="4"/>
  <c r="Z52" i="4"/>
  <c r="AC52" i="4"/>
  <c r="Y52" i="4"/>
  <c r="C52" i="4"/>
  <c r="J52" i="4"/>
  <c r="H52" i="4"/>
  <c r="N52" i="4"/>
  <c r="M52" i="4"/>
  <c r="R52" i="4"/>
  <c r="G24" i="4"/>
  <c r="G23" i="4"/>
  <c r="H21" i="4"/>
  <c r="M32" i="4"/>
  <c r="L36" i="4"/>
  <c r="K34" i="4"/>
  <c r="L33" i="4"/>
  <c r="E65" i="1"/>
  <c r="D66" i="1"/>
  <c r="D68" i="1" s="1"/>
  <c r="AA52" i="1"/>
  <c r="D52" i="1"/>
  <c r="Y52" i="1"/>
  <c r="P52" i="1"/>
  <c r="F52" i="1"/>
  <c r="AB52" i="1"/>
  <c r="AC52" i="1"/>
  <c r="G52" i="1"/>
  <c r="C52" i="1"/>
  <c r="W52" i="1"/>
  <c r="O52" i="1"/>
  <c r="E52" i="1"/>
  <c r="H52" i="1"/>
  <c r="V52" i="1"/>
  <c r="S52" i="1"/>
  <c r="K52" i="1"/>
  <c r="I52" i="1"/>
  <c r="AD52" i="1"/>
  <c r="U52" i="1"/>
  <c r="L52" i="1"/>
  <c r="M52" i="1"/>
  <c r="N52" i="1"/>
  <c r="Z52" i="1"/>
  <c r="Q52" i="1"/>
  <c r="R52" i="1"/>
  <c r="AE52" i="1"/>
  <c r="T52" i="1"/>
  <c r="J52" i="1"/>
  <c r="AF52" i="1"/>
  <c r="X52" i="1"/>
  <c r="E86" i="1"/>
  <c r="D87" i="1"/>
  <c r="D89" i="1" s="1"/>
  <c r="AG140" i="5"/>
  <c r="C39" i="1"/>
  <c r="E19" i="1"/>
  <c r="I19" i="1"/>
  <c r="M19" i="1"/>
  <c r="Q19" i="1"/>
  <c r="U19" i="1"/>
  <c r="Y19" i="1"/>
  <c r="AC19" i="1"/>
  <c r="C19" i="1"/>
  <c r="C24" i="1" s="1"/>
  <c r="K19" i="1"/>
  <c r="S19" i="1"/>
  <c r="W19" i="1"/>
  <c r="AE19" i="1"/>
  <c r="F19" i="1"/>
  <c r="J19" i="1"/>
  <c r="N19" i="1"/>
  <c r="R19" i="1"/>
  <c r="V19" i="1"/>
  <c r="Z19" i="1"/>
  <c r="AD19" i="1"/>
  <c r="G19" i="1"/>
  <c r="O19" i="1"/>
  <c r="AA19" i="1"/>
  <c r="L19" i="1"/>
  <c r="AB19" i="1"/>
  <c r="P19" i="1"/>
  <c r="AF19" i="1"/>
  <c r="D19" i="1"/>
  <c r="D24" i="1" s="1"/>
  <c r="T19" i="1"/>
  <c r="H19" i="1"/>
  <c r="X19" i="1"/>
  <c r="B24" i="1"/>
  <c r="C23" i="1"/>
  <c r="F17" i="1"/>
  <c r="D23" i="1"/>
  <c r="F97" i="1"/>
  <c r="G97" i="1"/>
  <c r="B141" i="5"/>
  <c r="B142" i="5" s="1"/>
  <c r="AG142" i="5" s="1"/>
  <c r="D70" i="5"/>
  <c r="B143" i="5"/>
  <c r="F111" i="5"/>
  <c r="E115" i="5"/>
  <c r="B118" i="5"/>
  <c r="C116" i="5"/>
  <c r="C119" i="5" s="1"/>
  <c r="G65" i="5"/>
  <c r="F69" i="5"/>
  <c r="G76" i="4"/>
  <c r="AG88" i="4"/>
  <c r="H50" i="4"/>
  <c r="G53" i="4"/>
  <c r="AD97" i="1"/>
  <c r="J97" i="1"/>
  <c r="O97" i="1"/>
  <c r="X97" i="1"/>
  <c r="AE97" i="1"/>
  <c r="D97" i="1"/>
  <c r="I97" i="1"/>
  <c r="R97" i="1"/>
  <c r="Y97" i="1"/>
  <c r="V97" i="1"/>
  <c r="AA97" i="1"/>
  <c r="C97" i="1"/>
  <c r="AB97" i="1"/>
  <c r="L97" i="1"/>
  <c r="S97" i="1"/>
  <c r="P97" i="1"/>
  <c r="U97" i="1"/>
  <c r="M97" i="1"/>
  <c r="E21" i="1"/>
  <c r="H4" i="1"/>
  <c r="G43" i="1"/>
  <c r="G45" i="1" s="1"/>
  <c r="F32" i="1"/>
  <c r="F36" i="1" s="1"/>
  <c r="H16" i="1"/>
  <c r="G20" i="1"/>
  <c r="G112" i="5"/>
  <c r="G113" i="5" s="1"/>
  <c r="B91" i="1"/>
  <c r="B92" i="1" s="1"/>
  <c r="AG92" i="1" s="1"/>
  <c r="B70" i="1"/>
  <c r="B71" i="1" s="1"/>
  <c r="AG71" i="1" s="1"/>
  <c r="B90" i="4"/>
  <c r="D66" i="4"/>
  <c r="C68" i="4"/>
  <c r="B69" i="4"/>
  <c r="B70" i="4"/>
  <c r="B71" i="4" s="1"/>
  <c r="AG71" i="4" s="1"/>
  <c r="D87" i="4"/>
  <c r="C89" i="4"/>
  <c r="F127" i="5"/>
  <c r="F128" i="5" s="1"/>
  <c r="F129" i="5" s="1"/>
  <c r="H154" i="5"/>
  <c r="G155" i="5"/>
  <c r="E52" i="5"/>
  <c r="E95" i="5"/>
  <c r="H83" i="5"/>
  <c r="H84" i="5" s="1"/>
  <c r="H85" i="5" s="1"/>
  <c r="G86" i="5"/>
  <c r="C45" i="4"/>
  <c r="H33" i="1"/>
  <c r="G34" i="1"/>
  <c r="F45" i="1"/>
  <c r="G66" i="5"/>
  <c r="E44" i="5"/>
  <c r="E45" i="5" s="1"/>
  <c r="F43" i="5"/>
  <c r="F67" i="5" s="1"/>
  <c r="G46" i="1"/>
  <c r="L46" i="1"/>
  <c r="AE46" i="1"/>
  <c r="AD46" i="1"/>
  <c r="AB46" i="1"/>
  <c r="AA46" i="1"/>
  <c r="Y46" i="1"/>
  <c r="X46" i="1"/>
  <c r="V46" i="1"/>
  <c r="U46" i="1"/>
  <c r="S46" i="1"/>
  <c r="R46" i="1"/>
  <c r="B47" i="1"/>
  <c r="B48" i="1" s="1"/>
  <c r="AG48" i="1" s="1"/>
  <c r="C46" i="1"/>
  <c r="D46" i="1"/>
  <c r="F46" i="1"/>
  <c r="I46" i="1"/>
  <c r="J46" i="1"/>
  <c r="M46" i="1"/>
  <c r="O46" i="1"/>
  <c r="P46" i="1"/>
  <c r="D40" i="1" l="1"/>
  <c r="E37" i="1"/>
  <c r="E39" i="1" s="1"/>
  <c r="E24" i="1"/>
  <c r="B31" i="7"/>
  <c r="N32" i="5"/>
  <c r="M36" i="5"/>
  <c r="H24" i="5"/>
  <c r="H23" i="5"/>
  <c r="I21" i="5"/>
  <c r="L34" i="5"/>
  <c r="M33" i="5"/>
  <c r="D72" i="5"/>
  <c r="D73" i="5"/>
  <c r="H40" i="5"/>
  <c r="H39" i="5"/>
  <c r="I37" i="5"/>
  <c r="O16" i="5"/>
  <c r="N20" i="5"/>
  <c r="N32" i="4"/>
  <c r="M36" i="4"/>
  <c r="I39" i="4"/>
  <c r="J37" i="4"/>
  <c r="I40" i="4"/>
  <c r="P16" i="4"/>
  <c r="O20" i="4"/>
  <c r="H23" i="4"/>
  <c r="I21" i="4"/>
  <c r="H24" i="4"/>
  <c r="L34" i="4"/>
  <c r="M33" i="4"/>
  <c r="F86" i="1"/>
  <c r="E87" i="1"/>
  <c r="E88" i="1" s="1"/>
  <c r="E90" i="1" s="1"/>
  <c r="E97" i="1" s="1"/>
  <c r="F65" i="1"/>
  <c r="E66" i="1"/>
  <c r="E68" i="1" s="1"/>
  <c r="B76" i="1"/>
  <c r="E23" i="1"/>
  <c r="G17" i="1"/>
  <c r="E70" i="5"/>
  <c r="H112" i="5"/>
  <c r="H113" i="5" s="1"/>
  <c r="B146" i="5"/>
  <c r="B145" i="5"/>
  <c r="C118" i="5"/>
  <c r="D116" i="5"/>
  <c r="D119" i="5" s="1"/>
  <c r="G111" i="5"/>
  <c r="F115" i="5"/>
  <c r="H65" i="5"/>
  <c r="G69" i="5"/>
  <c r="AG90" i="4"/>
  <c r="B99" i="4" s="1"/>
  <c r="B97" i="4"/>
  <c r="B98" i="4" s="1"/>
  <c r="B101" i="4" s="1"/>
  <c r="AG69" i="4"/>
  <c r="B78" i="4" s="1"/>
  <c r="B76" i="4"/>
  <c r="B77" i="4" s="1"/>
  <c r="B80" i="4" s="1"/>
  <c r="H76" i="4"/>
  <c r="I50" i="4"/>
  <c r="H53" i="4"/>
  <c r="B97" i="1"/>
  <c r="F76" i="1"/>
  <c r="F21" i="1"/>
  <c r="F24" i="1" s="1"/>
  <c r="I53" i="1"/>
  <c r="F53" i="1"/>
  <c r="P53" i="1"/>
  <c r="R53" i="1"/>
  <c r="M53" i="1"/>
  <c r="D53" i="1"/>
  <c r="X53" i="1"/>
  <c r="AD53" i="1"/>
  <c r="G53" i="1"/>
  <c r="J53" i="1"/>
  <c r="C53" i="1"/>
  <c r="S53" i="1"/>
  <c r="Y53" i="1"/>
  <c r="AE53" i="1"/>
  <c r="U53" i="1"/>
  <c r="AA53" i="1"/>
  <c r="L53" i="1"/>
  <c r="O53" i="1"/>
  <c r="V53" i="1"/>
  <c r="AB53" i="1"/>
  <c r="B53" i="1"/>
  <c r="I4" i="1"/>
  <c r="H43" i="1"/>
  <c r="H45" i="1" s="1"/>
  <c r="G32" i="1"/>
  <c r="G36" i="1" s="1"/>
  <c r="I16" i="1"/>
  <c r="H20" i="1"/>
  <c r="E44" i="1"/>
  <c r="E46" i="1" s="1"/>
  <c r="E53" i="1" s="1"/>
  <c r="E45" i="1"/>
  <c r="E87" i="4"/>
  <c r="D89" i="4"/>
  <c r="E66" i="4"/>
  <c r="D68" i="4"/>
  <c r="I154" i="5"/>
  <c r="H155" i="5"/>
  <c r="G127" i="5"/>
  <c r="G128" i="5" s="1"/>
  <c r="G129" i="5" s="1"/>
  <c r="I112" i="5"/>
  <c r="F52" i="5"/>
  <c r="F95" i="5"/>
  <c r="H86" i="5"/>
  <c r="I83" i="5"/>
  <c r="I84" i="5" s="1"/>
  <c r="I85" i="5" s="1"/>
  <c r="D45" i="4"/>
  <c r="H34" i="1"/>
  <c r="I33" i="1"/>
  <c r="H66" i="5"/>
  <c r="F44" i="5"/>
  <c r="F45" i="5" s="1"/>
  <c r="G43" i="5"/>
  <c r="G67" i="5" s="1"/>
  <c r="B46" i="4"/>
  <c r="AG145" i="5" l="1"/>
  <c r="E40" i="1"/>
  <c r="F37" i="1"/>
  <c r="F40" i="1" s="1"/>
  <c r="E89" i="1"/>
  <c r="E72" i="5"/>
  <c r="E73" i="5"/>
  <c r="I39" i="5"/>
  <c r="J37" i="5"/>
  <c r="I40" i="5"/>
  <c r="M34" i="5"/>
  <c r="N33" i="5"/>
  <c r="P16" i="5"/>
  <c r="O20" i="5"/>
  <c r="I24" i="5"/>
  <c r="J21" i="5"/>
  <c r="I23" i="5"/>
  <c r="O32" i="5"/>
  <c r="N36" i="5"/>
  <c r="J39" i="4"/>
  <c r="K37" i="4"/>
  <c r="J40" i="4"/>
  <c r="P20" i="4"/>
  <c r="Q16" i="4"/>
  <c r="N33" i="4"/>
  <c r="M34" i="4"/>
  <c r="I23" i="4"/>
  <c r="I24" i="4"/>
  <c r="J21" i="4"/>
  <c r="N36" i="4"/>
  <c r="O32" i="4"/>
  <c r="E67" i="1"/>
  <c r="G65" i="1"/>
  <c r="F66" i="1"/>
  <c r="F68" i="1" s="1"/>
  <c r="G86" i="1"/>
  <c r="F87" i="1"/>
  <c r="F89" i="1" s="1"/>
  <c r="B54" i="1"/>
  <c r="B57" i="1" s="1"/>
  <c r="AG51" i="1"/>
  <c r="B35" i="7" s="1"/>
  <c r="B98" i="1"/>
  <c r="B101" i="1" s="1"/>
  <c r="AG95" i="1"/>
  <c r="B77" i="1"/>
  <c r="AG74" i="1"/>
  <c r="F23" i="1"/>
  <c r="H17" i="1"/>
  <c r="F70" i="5"/>
  <c r="G70" i="5" s="1"/>
  <c r="B147" i="5"/>
  <c r="B157" i="5" s="1"/>
  <c r="D118" i="5"/>
  <c r="E116" i="5"/>
  <c r="E119" i="5" s="1"/>
  <c r="H111" i="5"/>
  <c r="G115" i="5"/>
  <c r="I65" i="5"/>
  <c r="H69" i="5"/>
  <c r="B100" i="4"/>
  <c r="C98" i="4"/>
  <c r="C101" i="4" s="1"/>
  <c r="AG99" i="4"/>
  <c r="B104" i="4"/>
  <c r="B79" i="4"/>
  <c r="C77" i="4"/>
  <c r="C80" i="4" s="1"/>
  <c r="I76" i="4"/>
  <c r="AG46" i="4"/>
  <c r="J50" i="4"/>
  <c r="I53" i="4"/>
  <c r="G76" i="1"/>
  <c r="G21" i="1"/>
  <c r="G24" i="1" s="1"/>
  <c r="J4" i="1"/>
  <c r="I43" i="1"/>
  <c r="I45" i="1" s="1"/>
  <c r="H32" i="1"/>
  <c r="H36" i="1" s="1"/>
  <c r="J16" i="1"/>
  <c r="I20" i="1"/>
  <c r="F66" i="4"/>
  <c r="E68" i="4"/>
  <c r="F87" i="4"/>
  <c r="E89" i="4"/>
  <c r="H127" i="5"/>
  <c r="H128" i="5" s="1"/>
  <c r="H129" i="5" s="1"/>
  <c r="I155" i="5"/>
  <c r="J154" i="5"/>
  <c r="J112" i="5"/>
  <c r="I113" i="5"/>
  <c r="G52" i="5"/>
  <c r="G95" i="5"/>
  <c r="I86" i="5"/>
  <c r="J83" i="5"/>
  <c r="J84" i="5" s="1"/>
  <c r="J85" i="5" s="1"/>
  <c r="E45" i="4"/>
  <c r="I34" i="1"/>
  <c r="J33" i="1"/>
  <c r="I66" i="5"/>
  <c r="G44" i="5"/>
  <c r="G45" i="5" s="1"/>
  <c r="H43" i="5"/>
  <c r="H67" i="5" s="1"/>
  <c r="H44" i="1"/>
  <c r="H46" i="1" s="1"/>
  <c r="H53" i="1" s="1"/>
  <c r="B47" i="4"/>
  <c r="B48" i="4" s="1"/>
  <c r="AG48" i="4" s="1"/>
  <c r="E69" i="1" l="1"/>
  <c r="E76" i="1" s="1"/>
  <c r="B38" i="7"/>
  <c r="B39" i="7" s="1"/>
  <c r="F39" i="1"/>
  <c r="G37" i="1"/>
  <c r="G39" i="1" s="1"/>
  <c r="F72" i="5"/>
  <c r="F73" i="5"/>
  <c r="P20" i="5"/>
  <c r="Q16" i="5"/>
  <c r="J23" i="5"/>
  <c r="K21" i="5"/>
  <c r="J24" i="5"/>
  <c r="O33" i="5"/>
  <c r="N34" i="5"/>
  <c r="G72" i="5"/>
  <c r="G73" i="5"/>
  <c r="J39" i="5"/>
  <c r="K37" i="5"/>
  <c r="J40" i="5"/>
  <c r="O36" i="5"/>
  <c r="P32" i="5"/>
  <c r="O36" i="4"/>
  <c r="P32" i="4"/>
  <c r="J23" i="4"/>
  <c r="K21" i="4"/>
  <c r="J24" i="4"/>
  <c r="O33" i="4"/>
  <c r="N34" i="4"/>
  <c r="K39" i="4"/>
  <c r="L37" i="4"/>
  <c r="K40" i="4"/>
  <c r="R16" i="4"/>
  <c r="Q20" i="4"/>
  <c r="C98" i="1"/>
  <c r="C101" i="1" s="1"/>
  <c r="H86" i="1"/>
  <c r="G87" i="1"/>
  <c r="G89" i="1" s="1"/>
  <c r="H65" i="1"/>
  <c r="G66" i="1"/>
  <c r="G68" i="1" s="1"/>
  <c r="B100" i="1"/>
  <c r="AG147" i="5"/>
  <c r="B159" i="5" s="1"/>
  <c r="B158" i="5"/>
  <c r="B56" i="1"/>
  <c r="C54" i="1"/>
  <c r="C57" i="1" s="1"/>
  <c r="B80" i="1"/>
  <c r="C77" i="1"/>
  <c r="B79" i="1"/>
  <c r="G23" i="1"/>
  <c r="I17" i="1"/>
  <c r="H70" i="5"/>
  <c r="I111" i="5"/>
  <c r="H115" i="5"/>
  <c r="E118" i="5"/>
  <c r="F116" i="5"/>
  <c r="F119" i="5" s="1"/>
  <c r="J65" i="5"/>
  <c r="I69" i="5"/>
  <c r="C79" i="4"/>
  <c r="D77" i="4"/>
  <c r="D80" i="4" s="1"/>
  <c r="C100" i="4"/>
  <c r="D98" i="4"/>
  <c r="D101" i="4" s="1"/>
  <c r="J76" i="4"/>
  <c r="B53" i="4"/>
  <c r="B54" i="4" s="1"/>
  <c r="B57" i="4" s="1"/>
  <c r="K50" i="4"/>
  <c r="J53" i="4"/>
  <c r="I76" i="1"/>
  <c r="H21" i="1"/>
  <c r="H24" i="1" s="1"/>
  <c r="K4" i="1"/>
  <c r="J43" i="1"/>
  <c r="J45" i="1" s="1"/>
  <c r="I32" i="1"/>
  <c r="I36" i="1" s="1"/>
  <c r="K16" i="1"/>
  <c r="J20" i="1"/>
  <c r="G87" i="4"/>
  <c r="F89" i="4"/>
  <c r="G66" i="4"/>
  <c r="F68" i="4"/>
  <c r="I127" i="5"/>
  <c r="I128" i="5" s="1"/>
  <c r="I129" i="5" s="1"/>
  <c r="J155" i="5"/>
  <c r="K154" i="5"/>
  <c r="K112" i="5"/>
  <c r="J113" i="5"/>
  <c r="H52" i="5"/>
  <c r="H95" i="5"/>
  <c r="K83" i="5"/>
  <c r="K84" i="5" s="1"/>
  <c r="K85" i="5" s="1"/>
  <c r="J86" i="5"/>
  <c r="F45" i="4"/>
  <c r="J34" i="1"/>
  <c r="K33" i="1"/>
  <c r="J66" i="5"/>
  <c r="H44" i="5"/>
  <c r="H45" i="5" s="1"/>
  <c r="I43" i="5"/>
  <c r="I67" i="5" s="1"/>
  <c r="B164" i="5" l="1"/>
  <c r="G40" i="1"/>
  <c r="H37" i="1"/>
  <c r="H39" i="1" s="1"/>
  <c r="B160" i="5"/>
  <c r="B161" i="5"/>
  <c r="P33" i="5"/>
  <c r="O34" i="5"/>
  <c r="K23" i="5"/>
  <c r="K24" i="5"/>
  <c r="L21" i="5"/>
  <c r="Q32" i="5"/>
  <c r="P36" i="5"/>
  <c r="R16" i="5"/>
  <c r="Q20" i="5"/>
  <c r="H72" i="5"/>
  <c r="H73" i="5"/>
  <c r="K39" i="5"/>
  <c r="L37" i="5"/>
  <c r="K40" i="5"/>
  <c r="S16" i="4"/>
  <c r="R20" i="4"/>
  <c r="O34" i="4"/>
  <c r="P33" i="4"/>
  <c r="Q32" i="4"/>
  <c r="P36" i="4"/>
  <c r="K24" i="4"/>
  <c r="L21" i="4"/>
  <c r="K23" i="4"/>
  <c r="L40" i="4"/>
  <c r="L39" i="4"/>
  <c r="M37" i="4"/>
  <c r="C100" i="1"/>
  <c r="I65" i="1"/>
  <c r="H66" i="1"/>
  <c r="D98" i="1"/>
  <c r="D101" i="1" s="1"/>
  <c r="I86" i="1"/>
  <c r="H87" i="1"/>
  <c r="AG159" i="5"/>
  <c r="D54" i="1"/>
  <c r="D57" i="1" s="1"/>
  <c r="C56" i="1"/>
  <c r="D77" i="1"/>
  <c r="C80" i="1"/>
  <c r="C79" i="1"/>
  <c r="H23" i="1"/>
  <c r="J17" i="1"/>
  <c r="C158" i="5"/>
  <c r="I70" i="5"/>
  <c r="F118" i="5"/>
  <c r="G116" i="5"/>
  <c r="G119" i="5" s="1"/>
  <c r="J111" i="5"/>
  <c r="I115" i="5"/>
  <c r="K65" i="5"/>
  <c r="J69" i="5"/>
  <c r="D100" i="4"/>
  <c r="E98" i="4"/>
  <c r="E101" i="4" s="1"/>
  <c r="D79" i="4"/>
  <c r="E77" i="4"/>
  <c r="E80" i="4" s="1"/>
  <c r="K76" i="4"/>
  <c r="B56" i="4"/>
  <c r="C54" i="4"/>
  <c r="C57" i="4" s="1"/>
  <c r="L50" i="4"/>
  <c r="K53" i="4"/>
  <c r="J76" i="1"/>
  <c r="I21" i="1"/>
  <c r="I24" i="1" s="1"/>
  <c r="L4" i="1"/>
  <c r="K43" i="1"/>
  <c r="J32" i="1"/>
  <c r="J36" i="1" s="1"/>
  <c r="L16" i="1"/>
  <c r="K20" i="1"/>
  <c r="H66" i="4"/>
  <c r="G68" i="4"/>
  <c r="H87" i="4"/>
  <c r="G89" i="4"/>
  <c r="J127" i="5"/>
  <c r="J128" i="5" s="1"/>
  <c r="J129" i="5" s="1"/>
  <c r="L154" i="5"/>
  <c r="K155" i="5"/>
  <c r="K113" i="5"/>
  <c r="L112" i="5"/>
  <c r="I52" i="5"/>
  <c r="I95" i="5"/>
  <c r="L83" i="5"/>
  <c r="L84" i="5" s="1"/>
  <c r="L85" i="5" s="1"/>
  <c r="K86" i="5"/>
  <c r="G45" i="4"/>
  <c r="L33" i="1"/>
  <c r="K34" i="1"/>
  <c r="K66" i="5"/>
  <c r="I44" i="5"/>
  <c r="I45" i="5" s="1"/>
  <c r="J43" i="5"/>
  <c r="J67" i="5" s="1"/>
  <c r="H40" i="1" l="1"/>
  <c r="I37" i="1"/>
  <c r="I40" i="1" s="1"/>
  <c r="C160" i="5"/>
  <c r="C161" i="5"/>
  <c r="R32" i="5"/>
  <c r="Q36" i="5"/>
  <c r="I72" i="5"/>
  <c r="I73" i="5"/>
  <c r="S16" i="5"/>
  <c r="R20" i="5"/>
  <c r="L40" i="5"/>
  <c r="L39" i="5"/>
  <c r="M37" i="5"/>
  <c r="L24" i="5"/>
  <c r="L23" i="5"/>
  <c r="M21" i="5"/>
  <c r="P34" i="5"/>
  <c r="Q33" i="5"/>
  <c r="R32" i="4"/>
  <c r="Q36" i="4"/>
  <c r="M39" i="4"/>
  <c r="N37" i="4"/>
  <c r="M40" i="4"/>
  <c r="P34" i="4"/>
  <c r="Q33" i="4"/>
  <c r="T16" i="4"/>
  <c r="S20" i="4"/>
  <c r="M21" i="4"/>
  <c r="L23" i="4"/>
  <c r="L24" i="4"/>
  <c r="E98" i="1"/>
  <c r="E101" i="1" s="1"/>
  <c r="D56" i="1"/>
  <c r="D100" i="1"/>
  <c r="J86" i="1"/>
  <c r="I87" i="1"/>
  <c r="I89" i="1" s="1"/>
  <c r="H68" i="1"/>
  <c r="H67" i="1"/>
  <c r="H88" i="1"/>
  <c r="H90" i="1" s="1"/>
  <c r="H97" i="1" s="1"/>
  <c r="H89" i="1"/>
  <c r="J65" i="1"/>
  <c r="I66" i="1"/>
  <c r="I68" i="1" s="1"/>
  <c r="E54" i="1"/>
  <c r="E57" i="1" s="1"/>
  <c r="D80" i="1"/>
  <c r="D79" i="1"/>
  <c r="E77" i="1"/>
  <c r="I39" i="1"/>
  <c r="K17" i="1"/>
  <c r="I23" i="1"/>
  <c r="D158" i="5"/>
  <c r="J70" i="5"/>
  <c r="G118" i="5"/>
  <c r="H116" i="5"/>
  <c r="H119" i="5" s="1"/>
  <c r="K111" i="5"/>
  <c r="J115" i="5"/>
  <c r="L65" i="5"/>
  <c r="K69" i="5"/>
  <c r="E100" i="4"/>
  <c r="F98" i="4"/>
  <c r="F101" i="4" s="1"/>
  <c r="E79" i="4"/>
  <c r="F77" i="4"/>
  <c r="F80" i="4" s="1"/>
  <c r="L76" i="4"/>
  <c r="C56" i="4"/>
  <c r="D54" i="4"/>
  <c r="D57" i="4" s="1"/>
  <c r="M50" i="4"/>
  <c r="L53" i="4"/>
  <c r="L76" i="1"/>
  <c r="J21" i="1"/>
  <c r="J24" i="1" s="1"/>
  <c r="M4" i="1"/>
  <c r="L43" i="1"/>
  <c r="L45" i="1" s="1"/>
  <c r="K32" i="1"/>
  <c r="K36" i="1" s="1"/>
  <c r="M16" i="1"/>
  <c r="L20" i="1"/>
  <c r="K44" i="1"/>
  <c r="K46" i="1" s="1"/>
  <c r="K53" i="1" s="1"/>
  <c r="K45" i="1"/>
  <c r="I87" i="4"/>
  <c r="H89" i="4"/>
  <c r="I66" i="4"/>
  <c r="H68" i="4"/>
  <c r="K127" i="5"/>
  <c r="K128" i="5" s="1"/>
  <c r="K129" i="5" s="1"/>
  <c r="M154" i="5"/>
  <c r="L155" i="5"/>
  <c r="L113" i="5"/>
  <c r="M112" i="5"/>
  <c r="J52" i="5"/>
  <c r="J95" i="5"/>
  <c r="L86" i="5"/>
  <c r="M83" i="5"/>
  <c r="M84" i="5" s="1"/>
  <c r="M85" i="5" s="1"/>
  <c r="H45" i="4"/>
  <c r="M33" i="1"/>
  <c r="L34" i="1"/>
  <c r="L66" i="5"/>
  <c r="J44" i="5"/>
  <c r="J45" i="5" s="1"/>
  <c r="K43" i="5"/>
  <c r="K67" i="5" s="1"/>
  <c r="H69" i="1" l="1"/>
  <c r="H76" i="1" s="1"/>
  <c r="E100" i="1"/>
  <c r="J37" i="1"/>
  <c r="K37" i="1" s="1"/>
  <c r="F98" i="1"/>
  <c r="F101" i="1" s="1"/>
  <c r="D160" i="5"/>
  <c r="D161" i="5"/>
  <c r="M23" i="5"/>
  <c r="N21" i="5"/>
  <c r="M24" i="5"/>
  <c r="J72" i="5"/>
  <c r="J73" i="5"/>
  <c r="Q34" i="5"/>
  <c r="R33" i="5"/>
  <c r="M39" i="5"/>
  <c r="N37" i="5"/>
  <c r="M40" i="5"/>
  <c r="S20" i="5"/>
  <c r="T16" i="5"/>
  <c r="S32" i="5"/>
  <c r="R36" i="5"/>
  <c r="U16" i="4"/>
  <c r="T20" i="4"/>
  <c r="N39" i="4"/>
  <c r="O37" i="4"/>
  <c r="N40" i="4"/>
  <c r="R33" i="4"/>
  <c r="Q34" i="4"/>
  <c r="M23" i="4"/>
  <c r="N21" i="4"/>
  <c r="M24" i="4"/>
  <c r="R36" i="4"/>
  <c r="S32" i="4"/>
  <c r="K65" i="1"/>
  <c r="J66" i="1"/>
  <c r="J68" i="1" s="1"/>
  <c r="K86" i="1"/>
  <c r="J87" i="1"/>
  <c r="J89" i="1" s="1"/>
  <c r="E56" i="1"/>
  <c r="F54" i="1"/>
  <c r="F57" i="1" s="1"/>
  <c r="E80" i="1"/>
  <c r="F77" i="1"/>
  <c r="E79" i="1"/>
  <c r="J40" i="1"/>
  <c r="J23" i="1"/>
  <c r="L17" i="1"/>
  <c r="E158" i="5"/>
  <c r="K70" i="5"/>
  <c r="H118" i="5"/>
  <c r="I116" i="5"/>
  <c r="I119" i="5" s="1"/>
  <c r="L111" i="5"/>
  <c r="K115" i="5"/>
  <c r="M65" i="5"/>
  <c r="L69" i="5"/>
  <c r="F100" i="4"/>
  <c r="G98" i="4"/>
  <c r="G101" i="4" s="1"/>
  <c r="F79" i="4"/>
  <c r="G77" i="4"/>
  <c r="G80" i="4" s="1"/>
  <c r="M76" i="4"/>
  <c r="D56" i="4"/>
  <c r="E54" i="4"/>
  <c r="E57" i="4" s="1"/>
  <c r="N50" i="4"/>
  <c r="M53" i="4"/>
  <c r="M76" i="1"/>
  <c r="K21" i="1"/>
  <c r="K24" i="1" s="1"/>
  <c r="N4" i="1"/>
  <c r="M43" i="1"/>
  <c r="M45" i="1" s="1"/>
  <c r="L32" i="1"/>
  <c r="L36" i="1" s="1"/>
  <c r="N16" i="1"/>
  <c r="M20" i="1"/>
  <c r="J66" i="4"/>
  <c r="I68" i="4"/>
  <c r="J87" i="4"/>
  <c r="I89" i="4"/>
  <c r="L127" i="5"/>
  <c r="L128" i="5" s="1"/>
  <c r="L129" i="5" s="1"/>
  <c r="M155" i="5"/>
  <c r="N154" i="5"/>
  <c r="N112" i="5"/>
  <c r="M113" i="5"/>
  <c r="K52" i="5"/>
  <c r="K95" i="5"/>
  <c r="M86" i="5"/>
  <c r="N83" i="5"/>
  <c r="N84" i="5" s="1"/>
  <c r="N85" i="5" s="1"/>
  <c r="I45" i="4"/>
  <c r="M34" i="1"/>
  <c r="N33" i="1"/>
  <c r="M66" i="5"/>
  <c r="K44" i="5"/>
  <c r="K45" i="5" s="1"/>
  <c r="L43" i="5"/>
  <c r="L67" i="5" s="1"/>
  <c r="J39" i="1" l="1"/>
  <c r="G98" i="1"/>
  <c r="G101" i="1" s="1"/>
  <c r="F100" i="1"/>
  <c r="E160" i="5"/>
  <c r="E161" i="5"/>
  <c r="U16" i="5"/>
  <c r="T20" i="5"/>
  <c r="S33" i="5"/>
  <c r="R34" i="5"/>
  <c r="N23" i="5"/>
  <c r="O21" i="5"/>
  <c r="N24" i="5"/>
  <c r="K72" i="5"/>
  <c r="K73" i="5"/>
  <c r="S36" i="5"/>
  <c r="T32" i="5"/>
  <c r="N39" i="5"/>
  <c r="O37" i="5"/>
  <c r="N40" i="5"/>
  <c r="S33" i="4"/>
  <c r="R34" i="4"/>
  <c r="S36" i="4"/>
  <c r="T32" i="4"/>
  <c r="O39" i="4"/>
  <c r="P37" i="4"/>
  <c r="O40" i="4"/>
  <c r="N23" i="4"/>
  <c r="O21" i="4"/>
  <c r="N24" i="4"/>
  <c r="V16" i="4"/>
  <c r="U20" i="4"/>
  <c r="L86" i="1"/>
  <c r="K87" i="1"/>
  <c r="L65" i="1"/>
  <c r="K66" i="1"/>
  <c r="F56" i="1"/>
  <c r="G54" i="1"/>
  <c r="G57" i="1" s="1"/>
  <c r="F80" i="1"/>
  <c r="G77" i="1"/>
  <c r="F79" i="1"/>
  <c r="K39" i="1"/>
  <c r="K40" i="1"/>
  <c r="K23" i="1"/>
  <c r="M17" i="1"/>
  <c r="F158" i="5"/>
  <c r="F161" i="5" s="1"/>
  <c r="I118" i="5"/>
  <c r="J116" i="5"/>
  <c r="J119" i="5" s="1"/>
  <c r="L70" i="5"/>
  <c r="M111" i="5"/>
  <c r="L115" i="5"/>
  <c r="N65" i="5"/>
  <c r="M69" i="5"/>
  <c r="G79" i="4"/>
  <c r="H77" i="4"/>
  <c r="H80" i="4" s="1"/>
  <c r="G100" i="4"/>
  <c r="H98" i="4"/>
  <c r="H101" i="4" s="1"/>
  <c r="N76" i="4"/>
  <c r="E56" i="4"/>
  <c r="F54" i="4"/>
  <c r="F57" i="4" s="1"/>
  <c r="O50" i="4"/>
  <c r="N53" i="4"/>
  <c r="O76" i="1"/>
  <c r="L21" i="1"/>
  <c r="L24" i="1" s="1"/>
  <c r="L37" i="1"/>
  <c r="O4" i="1"/>
  <c r="N43" i="1"/>
  <c r="M32" i="1"/>
  <c r="M36" i="1" s="1"/>
  <c r="O16" i="1"/>
  <c r="N20" i="1"/>
  <c r="K87" i="4"/>
  <c r="J89" i="4"/>
  <c r="K66" i="4"/>
  <c r="J68" i="4"/>
  <c r="M127" i="5"/>
  <c r="M128" i="5" s="1"/>
  <c r="M129" i="5" s="1"/>
  <c r="N155" i="5"/>
  <c r="O154" i="5"/>
  <c r="O112" i="5"/>
  <c r="N113" i="5"/>
  <c r="L52" i="5"/>
  <c r="L95" i="5"/>
  <c r="O83" i="5"/>
  <c r="O84" i="5" s="1"/>
  <c r="O85" i="5" s="1"/>
  <c r="N86" i="5"/>
  <c r="J45" i="4"/>
  <c r="O33" i="1"/>
  <c r="N34" i="1"/>
  <c r="N66" i="5"/>
  <c r="L44" i="5"/>
  <c r="L45" i="5" s="1"/>
  <c r="M43" i="5"/>
  <c r="M67" i="5" s="1"/>
  <c r="G100" i="1" l="1"/>
  <c r="H98" i="1"/>
  <c r="H101" i="1" s="1"/>
  <c r="L72" i="5"/>
  <c r="L73" i="5"/>
  <c r="U32" i="5"/>
  <c r="T36" i="5"/>
  <c r="T33" i="5"/>
  <c r="S34" i="5"/>
  <c r="O23" i="5"/>
  <c r="P21" i="5"/>
  <c r="O24" i="5"/>
  <c r="O39" i="5"/>
  <c r="P37" i="5"/>
  <c r="O40" i="5"/>
  <c r="V16" i="5"/>
  <c r="U20" i="5"/>
  <c r="W16" i="4"/>
  <c r="V20" i="4"/>
  <c r="P40" i="4"/>
  <c r="P39" i="4"/>
  <c r="Q37" i="4"/>
  <c r="U32" i="4"/>
  <c r="T36" i="4"/>
  <c r="O24" i="4"/>
  <c r="O23" i="4"/>
  <c r="P21" i="4"/>
  <c r="S34" i="4"/>
  <c r="T33" i="4"/>
  <c r="M65" i="1"/>
  <c r="L66" i="1"/>
  <c r="L68" i="1" s="1"/>
  <c r="M86" i="1"/>
  <c r="L87" i="1"/>
  <c r="L89" i="1" s="1"/>
  <c r="K68" i="1"/>
  <c r="K67" i="1"/>
  <c r="K88" i="1"/>
  <c r="K90" i="1" s="1"/>
  <c r="K97" i="1" s="1"/>
  <c r="K89" i="1"/>
  <c r="G56" i="1"/>
  <c r="H54" i="1"/>
  <c r="H57" i="1" s="1"/>
  <c r="G158" i="5"/>
  <c r="H158" i="5" s="1"/>
  <c r="F160" i="5"/>
  <c r="G80" i="1"/>
  <c r="H77" i="1"/>
  <c r="G79" i="1"/>
  <c r="L39" i="1"/>
  <c r="L40" i="1"/>
  <c r="L23" i="1"/>
  <c r="N17" i="1"/>
  <c r="M70" i="5"/>
  <c r="N111" i="5"/>
  <c r="M115" i="5"/>
  <c r="J118" i="5"/>
  <c r="K116" i="5"/>
  <c r="K119" i="5" s="1"/>
  <c r="O65" i="5"/>
  <c r="N69" i="5"/>
  <c r="I98" i="4"/>
  <c r="I101" i="4" s="1"/>
  <c r="H100" i="4"/>
  <c r="H79" i="4"/>
  <c r="I77" i="4"/>
  <c r="I80" i="4" s="1"/>
  <c r="O76" i="4"/>
  <c r="F56" i="4"/>
  <c r="G54" i="4"/>
  <c r="G57" i="4" s="1"/>
  <c r="P50" i="4"/>
  <c r="O53" i="4"/>
  <c r="P76" i="1"/>
  <c r="M21" i="1"/>
  <c r="M24" i="1" s="1"/>
  <c r="M37" i="1"/>
  <c r="P4" i="1"/>
  <c r="O43" i="1"/>
  <c r="O45" i="1" s="1"/>
  <c r="N32" i="1"/>
  <c r="N36" i="1" s="1"/>
  <c r="P16" i="1"/>
  <c r="O20" i="1"/>
  <c r="N44" i="1"/>
  <c r="N46" i="1" s="1"/>
  <c r="N53" i="1" s="1"/>
  <c r="N45" i="1"/>
  <c r="L66" i="4"/>
  <c r="K68" i="4"/>
  <c r="L87" i="4"/>
  <c r="K89" i="4"/>
  <c r="N127" i="5"/>
  <c r="N128" i="5" s="1"/>
  <c r="N129" i="5" s="1"/>
  <c r="P154" i="5"/>
  <c r="O155" i="5"/>
  <c r="O113" i="5"/>
  <c r="P112" i="5"/>
  <c r="M52" i="5"/>
  <c r="M95" i="5"/>
  <c r="O86" i="5"/>
  <c r="P83" i="5"/>
  <c r="P84" i="5" s="1"/>
  <c r="P85" i="5" s="1"/>
  <c r="K45" i="4"/>
  <c r="P33" i="1"/>
  <c r="O34" i="1"/>
  <c r="O66" i="5"/>
  <c r="M44" i="5"/>
  <c r="M45" i="5" s="1"/>
  <c r="N43" i="5"/>
  <c r="N67" i="5" s="1"/>
  <c r="K69" i="1" l="1"/>
  <c r="K76" i="1" s="1"/>
  <c r="I98" i="1"/>
  <c r="I101" i="1" s="1"/>
  <c r="H100" i="1"/>
  <c r="H160" i="5"/>
  <c r="H161" i="5"/>
  <c r="G160" i="5"/>
  <c r="G161" i="5"/>
  <c r="P24" i="5"/>
  <c r="P23" i="5"/>
  <c r="Q21" i="5"/>
  <c r="M72" i="5"/>
  <c r="M73" i="5"/>
  <c r="P40" i="5"/>
  <c r="P39" i="5"/>
  <c r="Q37" i="5"/>
  <c r="V32" i="5"/>
  <c r="U36" i="5"/>
  <c r="W16" i="5"/>
  <c r="V20" i="5"/>
  <c r="T34" i="5"/>
  <c r="U33" i="5"/>
  <c r="T34" i="4"/>
  <c r="U33" i="4"/>
  <c r="P23" i="4"/>
  <c r="P24" i="4"/>
  <c r="Q21" i="4"/>
  <c r="V32" i="4"/>
  <c r="U36" i="4"/>
  <c r="Q39" i="4"/>
  <c r="R37" i="4"/>
  <c r="Q40" i="4"/>
  <c r="X16" i="4"/>
  <c r="W20" i="4"/>
  <c r="N86" i="1"/>
  <c r="M87" i="1"/>
  <c r="M89" i="1" s="1"/>
  <c r="N65" i="1"/>
  <c r="M66" i="1"/>
  <c r="M68" i="1" s="1"/>
  <c r="H56" i="1"/>
  <c r="I54" i="1"/>
  <c r="I57" i="1" s="1"/>
  <c r="I77" i="1"/>
  <c r="H80" i="1"/>
  <c r="H79" i="1"/>
  <c r="M39" i="1"/>
  <c r="M40" i="1"/>
  <c r="M23" i="1"/>
  <c r="O17" i="1"/>
  <c r="N70" i="5"/>
  <c r="I158" i="5"/>
  <c r="K118" i="5"/>
  <c r="L116" i="5"/>
  <c r="L119" i="5" s="1"/>
  <c r="O111" i="5"/>
  <c r="N115" i="5"/>
  <c r="P65" i="5"/>
  <c r="O69" i="5"/>
  <c r="J77" i="4"/>
  <c r="J80" i="4" s="1"/>
  <c r="I79" i="4"/>
  <c r="J98" i="4"/>
  <c r="J101" i="4" s="1"/>
  <c r="I100" i="4"/>
  <c r="P76" i="4"/>
  <c r="G56" i="4"/>
  <c r="H54" i="4"/>
  <c r="H57" i="4" s="1"/>
  <c r="Q50" i="4"/>
  <c r="P53" i="4"/>
  <c r="R76" i="1"/>
  <c r="N21" i="1"/>
  <c r="N24" i="1" s="1"/>
  <c r="N37" i="1"/>
  <c r="Q4" i="1"/>
  <c r="P43" i="1"/>
  <c r="P45" i="1" s="1"/>
  <c r="O32" i="1"/>
  <c r="O36" i="1" s="1"/>
  <c r="Q16" i="1"/>
  <c r="P20" i="1"/>
  <c r="M87" i="4"/>
  <c r="L89" i="4"/>
  <c r="M66" i="4"/>
  <c r="L68" i="4"/>
  <c r="Q154" i="5"/>
  <c r="P155" i="5"/>
  <c r="O127" i="5"/>
  <c r="O128" i="5" s="1"/>
  <c r="O129" i="5" s="1"/>
  <c r="P113" i="5"/>
  <c r="Q112" i="5"/>
  <c r="N52" i="5"/>
  <c r="N95" i="5"/>
  <c r="P86" i="5"/>
  <c r="Q83" i="5"/>
  <c r="Q84" i="5" s="1"/>
  <c r="Q85" i="5" s="1"/>
  <c r="L45" i="4"/>
  <c r="P34" i="1"/>
  <c r="Q33" i="1"/>
  <c r="P66" i="5"/>
  <c r="N44" i="5"/>
  <c r="N45" i="5" s="1"/>
  <c r="O43" i="5"/>
  <c r="O67" i="5" s="1"/>
  <c r="J98" i="1" l="1"/>
  <c r="J101" i="1" s="1"/>
  <c r="I100" i="1"/>
  <c r="I160" i="5"/>
  <c r="I161" i="5"/>
  <c r="N72" i="5"/>
  <c r="N73" i="5"/>
  <c r="Q39" i="5"/>
  <c r="R37" i="5"/>
  <c r="Q40" i="5"/>
  <c r="X16" i="5"/>
  <c r="W20" i="5"/>
  <c r="U34" i="5"/>
  <c r="V33" i="5"/>
  <c r="Q24" i="5"/>
  <c r="Q23" i="5"/>
  <c r="R21" i="5"/>
  <c r="W32" i="5"/>
  <c r="V36" i="5"/>
  <c r="X20" i="4"/>
  <c r="Y16" i="4"/>
  <c r="V36" i="4"/>
  <c r="W32" i="4"/>
  <c r="V33" i="4"/>
  <c r="U34" i="4"/>
  <c r="R39" i="4"/>
  <c r="S37" i="4"/>
  <c r="R40" i="4"/>
  <c r="Q23" i="4"/>
  <c r="Q24" i="4"/>
  <c r="R21" i="4"/>
  <c r="O65" i="1"/>
  <c r="N66" i="1"/>
  <c r="O86" i="1"/>
  <c r="N87" i="1"/>
  <c r="J54" i="1"/>
  <c r="J57" i="1" s="1"/>
  <c r="I56" i="1"/>
  <c r="I80" i="1"/>
  <c r="J77" i="1"/>
  <c r="I79" i="1"/>
  <c r="N39" i="1"/>
  <c r="N40" i="1"/>
  <c r="P17" i="1"/>
  <c r="N23" i="1"/>
  <c r="J158" i="5"/>
  <c r="L118" i="5"/>
  <c r="M116" i="5"/>
  <c r="M119" i="5" s="1"/>
  <c r="O70" i="5"/>
  <c r="P111" i="5"/>
  <c r="O115" i="5"/>
  <c r="Q65" i="5"/>
  <c r="P69" i="5"/>
  <c r="K98" i="4"/>
  <c r="K101" i="4" s="1"/>
  <c r="J100" i="4"/>
  <c r="J79" i="4"/>
  <c r="K77" i="4"/>
  <c r="K80" i="4" s="1"/>
  <c r="Q76" i="4"/>
  <c r="H56" i="4"/>
  <c r="I54" i="4"/>
  <c r="I57" i="4" s="1"/>
  <c r="R50" i="4"/>
  <c r="Q53" i="4"/>
  <c r="J100" i="1"/>
  <c r="S76" i="1"/>
  <c r="O21" i="1"/>
  <c r="O24" i="1" s="1"/>
  <c r="O37" i="1"/>
  <c r="R4" i="1"/>
  <c r="Q43" i="1"/>
  <c r="P32" i="1"/>
  <c r="P36" i="1" s="1"/>
  <c r="R16" i="1"/>
  <c r="Q20" i="1"/>
  <c r="N66" i="4"/>
  <c r="M68" i="4"/>
  <c r="N87" i="4"/>
  <c r="M89" i="4"/>
  <c r="P127" i="5"/>
  <c r="P128" i="5" s="1"/>
  <c r="P129" i="5" s="1"/>
  <c r="Q155" i="5"/>
  <c r="R154" i="5"/>
  <c r="Q113" i="5"/>
  <c r="R112" i="5"/>
  <c r="O52" i="5"/>
  <c r="O95" i="5"/>
  <c r="Q86" i="5"/>
  <c r="R83" i="5"/>
  <c r="R84" i="5" s="1"/>
  <c r="R85" i="5" s="1"/>
  <c r="M45" i="4"/>
  <c r="Q34" i="1"/>
  <c r="R33" i="1"/>
  <c r="Q66" i="5"/>
  <c r="O44" i="5"/>
  <c r="O45" i="5" s="1"/>
  <c r="P43" i="5"/>
  <c r="P67" i="5" s="1"/>
  <c r="K98" i="1" l="1"/>
  <c r="K101" i="1" s="1"/>
  <c r="J56" i="1"/>
  <c r="J160" i="5"/>
  <c r="J161" i="5"/>
  <c r="R23" i="5"/>
  <c r="S21" i="5"/>
  <c r="R24" i="5"/>
  <c r="R39" i="5"/>
  <c r="S37" i="5"/>
  <c r="R40" i="5"/>
  <c r="O72" i="5"/>
  <c r="O73" i="5"/>
  <c r="X20" i="5"/>
  <c r="Y16" i="5"/>
  <c r="W36" i="5"/>
  <c r="X32" i="5"/>
  <c r="W33" i="5"/>
  <c r="V34" i="5"/>
  <c r="W33" i="4"/>
  <c r="V34" i="4"/>
  <c r="R23" i="4"/>
  <c r="S21" i="4"/>
  <c r="R24" i="4"/>
  <c r="S39" i="4"/>
  <c r="T37" i="4"/>
  <c r="S40" i="4"/>
  <c r="W36" i="4"/>
  <c r="X32" i="4"/>
  <c r="Z16" i="4"/>
  <c r="Y20" i="4"/>
  <c r="P65" i="1"/>
  <c r="O66" i="1"/>
  <c r="O68" i="1" s="1"/>
  <c r="P86" i="1"/>
  <c r="O87" i="1"/>
  <c r="O89" i="1" s="1"/>
  <c r="N88" i="1"/>
  <c r="N90" i="1" s="1"/>
  <c r="N97" i="1" s="1"/>
  <c r="N89" i="1"/>
  <c r="N68" i="1"/>
  <c r="N67" i="1"/>
  <c r="K54" i="1"/>
  <c r="K57" i="1" s="1"/>
  <c r="J80" i="1"/>
  <c r="K77" i="1"/>
  <c r="J79" i="1"/>
  <c r="O39" i="1"/>
  <c r="O40" i="1"/>
  <c r="Q17" i="1"/>
  <c r="K158" i="5"/>
  <c r="Q111" i="5"/>
  <c r="P115" i="5"/>
  <c r="M118" i="5"/>
  <c r="N116" i="5"/>
  <c r="N119" i="5" s="1"/>
  <c r="P70" i="5"/>
  <c r="R65" i="5"/>
  <c r="Q69" i="5"/>
  <c r="K79" i="4"/>
  <c r="L77" i="4"/>
  <c r="L80" i="4" s="1"/>
  <c r="K100" i="4"/>
  <c r="L98" i="4"/>
  <c r="L101" i="4" s="1"/>
  <c r="R76" i="4"/>
  <c r="I56" i="4"/>
  <c r="J54" i="4"/>
  <c r="J57" i="4" s="1"/>
  <c r="S50" i="4"/>
  <c r="R53" i="4"/>
  <c r="U76" i="1"/>
  <c r="O23" i="1"/>
  <c r="P21" i="1"/>
  <c r="P24" i="1" s="1"/>
  <c r="P37" i="1"/>
  <c r="S4" i="1"/>
  <c r="R43" i="1"/>
  <c r="R45" i="1" s="1"/>
  <c r="Q32" i="1"/>
  <c r="Q36" i="1" s="1"/>
  <c r="S16" i="1"/>
  <c r="R20" i="1"/>
  <c r="Q44" i="1"/>
  <c r="Q46" i="1" s="1"/>
  <c r="Q53" i="1" s="1"/>
  <c r="Q45" i="1"/>
  <c r="O87" i="4"/>
  <c r="N89" i="4"/>
  <c r="O66" i="4"/>
  <c r="N68" i="4"/>
  <c r="Q127" i="5"/>
  <c r="Q128" i="5" s="1"/>
  <c r="Q129" i="5" s="1"/>
  <c r="R155" i="5"/>
  <c r="S154" i="5"/>
  <c r="S112" i="5"/>
  <c r="R113" i="5"/>
  <c r="P52" i="5"/>
  <c r="P95" i="5"/>
  <c r="S83" i="5"/>
  <c r="S84" i="5" s="1"/>
  <c r="S85" i="5" s="1"/>
  <c r="R86" i="5"/>
  <c r="N45" i="4"/>
  <c r="S33" i="1"/>
  <c r="R34" i="1"/>
  <c r="R66" i="5"/>
  <c r="P44" i="5"/>
  <c r="P45" i="5" s="1"/>
  <c r="Q43" i="5"/>
  <c r="Q67" i="5" s="1"/>
  <c r="N69" i="1" l="1"/>
  <c r="N76" i="1" s="1"/>
  <c r="K100" i="1"/>
  <c r="L98" i="1"/>
  <c r="L101" i="1" s="1"/>
  <c r="K160" i="5"/>
  <c r="K161" i="5"/>
  <c r="Y32" i="5"/>
  <c r="X36" i="5"/>
  <c r="P72" i="5"/>
  <c r="P73" i="5"/>
  <c r="Z16" i="5"/>
  <c r="Y20" i="5"/>
  <c r="S23" i="5"/>
  <c r="T21" i="5"/>
  <c r="S24" i="5"/>
  <c r="X33" i="5"/>
  <c r="W34" i="5"/>
  <c r="S39" i="5"/>
  <c r="T37" i="5"/>
  <c r="S40" i="5"/>
  <c r="AA16" i="4"/>
  <c r="Z20" i="4"/>
  <c r="T40" i="4"/>
  <c r="T39" i="4"/>
  <c r="U37" i="4"/>
  <c r="Y32" i="4"/>
  <c r="X36" i="4"/>
  <c r="S24" i="4"/>
  <c r="T21" i="4"/>
  <c r="S23" i="4"/>
  <c r="W34" i="4"/>
  <c r="X33" i="4"/>
  <c r="L54" i="1"/>
  <c r="L57" i="1" s="1"/>
  <c r="Q86" i="1"/>
  <c r="P87" i="1"/>
  <c r="P89" i="1" s="1"/>
  <c r="K56" i="1"/>
  <c r="Q65" i="1"/>
  <c r="P66" i="1"/>
  <c r="P68" i="1" s="1"/>
  <c r="L77" i="1"/>
  <c r="K80" i="1"/>
  <c r="K79" i="1"/>
  <c r="P39" i="1"/>
  <c r="P40" i="1"/>
  <c r="P23" i="1"/>
  <c r="R17" i="1"/>
  <c r="Q70" i="5"/>
  <c r="L158" i="5"/>
  <c r="R111" i="5"/>
  <c r="Q115" i="5"/>
  <c r="N118" i="5"/>
  <c r="O116" i="5"/>
  <c r="O119" i="5" s="1"/>
  <c r="S65" i="5"/>
  <c r="R69" i="5"/>
  <c r="L79" i="4"/>
  <c r="M77" i="4"/>
  <c r="M80" i="4" s="1"/>
  <c r="L100" i="4"/>
  <c r="M98" i="4"/>
  <c r="M101" i="4" s="1"/>
  <c r="S76" i="4"/>
  <c r="J56" i="4"/>
  <c r="K54" i="4"/>
  <c r="K57" i="4" s="1"/>
  <c r="T50" i="4"/>
  <c r="S53" i="4"/>
  <c r="V76" i="1"/>
  <c r="Q21" i="1"/>
  <c r="Q24" i="1" s="1"/>
  <c r="Q37" i="1"/>
  <c r="T4" i="1"/>
  <c r="S43" i="1"/>
  <c r="S45" i="1" s="1"/>
  <c r="R32" i="1"/>
  <c r="R36" i="1" s="1"/>
  <c r="T16" i="1"/>
  <c r="S20" i="1"/>
  <c r="P66" i="4"/>
  <c r="O68" i="4"/>
  <c r="P87" i="4"/>
  <c r="O89" i="4"/>
  <c r="T154" i="5"/>
  <c r="S155" i="5"/>
  <c r="R127" i="5"/>
  <c r="R128" i="5" s="1"/>
  <c r="R129" i="5" s="1"/>
  <c r="S113" i="5"/>
  <c r="T112" i="5"/>
  <c r="Q52" i="5"/>
  <c r="Q95" i="5"/>
  <c r="T83" i="5"/>
  <c r="T84" i="5" s="1"/>
  <c r="T85" i="5" s="1"/>
  <c r="S86" i="5"/>
  <c r="O45" i="4"/>
  <c r="T33" i="1"/>
  <c r="S34" i="1"/>
  <c r="S66" i="5"/>
  <c r="Q44" i="5"/>
  <c r="Q45" i="5" s="1"/>
  <c r="R43" i="5"/>
  <c r="R67" i="5" s="1"/>
  <c r="M98" i="1" l="1"/>
  <c r="M101" i="1" s="1"/>
  <c r="L100" i="1"/>
  <c r="L160" i="5"/>
  <c r="L161" i="5"/>
  <c r="Q72" i="5"/>
  <c r="Q73" i="5"/>
  <c r="T24" i="5"/>
  <c r="U21" i="5"/>
  <c r="T23" i="5"/>
  <c r="X34" i="5"/>
  <c r="Y33" i="5"/>
  <c r="T40" i="5"/>
  <c r="T39" i="5"/>
  <c r="U37" i="5"/>
  <c r="AA16" i="5"/>
  <c r="Z20" i="5"/>
  <c r="Z32" i="5"/>
  <c r="Y36" i="5"/>
  <c r="T23" i="4"/>
  <c r="T24" i="4"/>
  <c r="U21" i="4"/>
  <c r="X34" i="4"/>
  <c r="Y33" i="4"/>
  <c r="Z32" i="4"/>
  <c r="Y36" i="4"/>
  <c r="U39" i="4"/>
  <c r="V37" i="4"/>
  <c r="U40" i="4"/>
  <c r="AB16" i="4"/>
  <c r="AA20" i="4"/>
  <c r="L56" i="1"/>
  <c r="R65" i="1"/>
  <c r="Q66" i="1"/>
  <c r="M54" i="1"/>
  <c r="M57" i="1" s="1"/>
  <c r="R86" i="1"/>
  <c r="Q87" i="1"/>
  <c r="R70" i="5"/>
  <c r="L80" i="1"/>
  <c r="M77" i="1"/>
  <c r="L79" i="1"/>
  <c r="Q39" i="1"/>
  <c r="Q40" i="1"/>
  <c r="S17" i="1"/>
  <c r="Q23" i="1"/>
  <c r="M158" i="5"/>
  <c r="O118" i="5"/>
  <c r="P116" i="5"/>
  <c r="P119" i="5" s="1"/>
  <c r="S111" i="5"/>
  <c r="R115" i="5"/>
  <c r="T65" i="5"/>
  <c r="S69" i="5"/>
  <c r="M100" i="4"/>
  <c r="N98" i="4"/>
  <c r="N101" i="4" s="1"/>
  <c r="M79" i="4"/>
  <c r="N77" i="4"/>
  <c r="N80" i="4" s="1"/>
  <c r="T76" i="4"/>
  <c r="K56" i="4"/>
  <c r="L54" i="4"/>
  <c r="L57" i="4" s="1"/>
  <c r="U50" i="4"/>
  <c r="T53" i="4"/>
  <c r="M100" i="1"/>
  <c r="X76" i="1"/>
  <c r="R21" i="1"/>
  <c r="R24" i="1" s="1"/>
  <c r="R37" i="1"/>
  <c r="U4" i="1"/>
  <c r="T43" i="1"/>
  <c r="S32" i="1"/>
  <c r="S36" i="1" s="1"/>
  <c r="U16" i="1"/>
  <c r="T20" i="1"/>
  <c r="Q87" i="4"/>
  <c r="P89" i="4"/>
  <c r="Q66" i="4"/>
  <c r="P68" i="4"/>
  <c r="S127" i="5"/>
  <c r="S128" i="5" s="1"/>
  <c r="S129" i="5" s="1"/>
  <c r="U154" i="5"/>
  <c r="T155" i="5"/>
  <c r="T113" i="5"/>
  <c r="U112" i="5"/>
  <c r="R52" i="5"/>
  <c r="R95" i="5"/>
  <c r="T86" i="5"/>
  <c r="U83" i="5"/>
  <c r="U84" i="5" s="1"/>
  <c r="U85" i="5" s="1"/>
  <c r="P45" i="4"/>
  <c r="U33" i="1"/>
  <c r="T34" i="1"/>
  <c r="T66" i="5"/>
  <c r="R44" i="5"/>
  <c r="R45" i="5" s="1"/>
  <c r="S43" i="5"/>
  <c r="S67" i="5" s="1"/>
  <c r="N98" i="1" l="1"/>
  <c r="N101" i="1" s="1"/>
  <c r="S70" i="5"/>
  <c r="S73" i="5" s="1"/>
  <c r="M160" i="5"/>
  <c r="M161" i="5"/>
  <c r="U23" i="5"/>
  <c r="V21" i="5"/>
  <c r="U24" i="5"/>
  <c r="Y34" i="5"/>
  <c r="Z33" i="5"/>
  <c r="U39" i="5"/>
  <c r="V37" i="5"/>
  <c r="U40" i="5"/>
  <c r="AA20" i="5"/>
  <c r="AB16" i="5"/>
  <c r="R72" i="5"/>
  <c r="R73" i="5"/>
  <c r="AA32" i="5"/>
  <c r="Z36" i="5"/>
  <c r="AC16" i="4"/>
  <c r="AB20" i="4"/>
  <c r="U23" i="4"/>
  <c r="U24" i="4"/>
  <c r="V21" i="4"/>
  <c r="Z36" i="4"/>
  <c r="AA32" i="4"/>
  <c r="V39" i="4"/>
  <c r="W37" i="4"/>
  <c r="V40" i="4"/>
  <c r="Z33" i="4"/>
  <c r="Y34" i="4"/>
  <c r="S86" i="1"/>
  <c r="R87" i="1"/>
  <c r="R89" i="1" s="1"/>
  <c r="N54" i="1"/>
  <c r="N57" i="1" s="1"/>
  <c r="Q68" i="1"/>
  <c r="Q67" i="1"/>
  <c r="Q69" i="1" s="1"/>
  <c r="Q76" i="1" s="1"/>
  <c r="M56" i="1"/>
  <c r="Q89" i="1"/>
  <c r="Q88" i="1"/>
  <c r="Q90" i="1" s="1"/>
  <c r="Q97" i="1" s="1"/>
  <c r="S65" i="1"/>
  <c r="R66" i="1"/>
  <c r="R68" i="1" s="1"/>
  <c r="M80" i="1"/>
  <c r="N77" i="1"/>
  <c r="M79" i="1"/>
  <c r="R39" i="1"/>
  <c r="R40" i="1"/>
  <c r="R23" i="1"/>
  <c r="T17" i="1"/>
  <c r="N158" i="5"/>
  <c r="P118" i="5"/>
  <c r="Q116" i="5"/>
  <c r="Q119" i="5" s="1"/>
  <c r="T111" i="5"/>
  <c r="S115" i="5"/>
  <c r="U65" i="5"/>
  <c r="T69" i="5"/>
  <c r="N79" i="4"/>
  <c r="O77" i="4"/>
  <c r="O80" i="4" s="1"/>
  <c r="N100" i="4"/>
  <c r="O98" i="4"/>
  <c r="O101" i="4" s="1"/>
  <c r="U76" i="4"/>
  <c r="L56" i="4"/>
  <c r="M54" i="4"/>
  <c r="M57" i="4" s="1"/>
  <c r="V50" i="4"/>
  <c r="U53" i="4"/>
  <c r="N100" i="1"/>
  <c r="O98" i="1"/>
  <c r="O101" i="1" s="1"/>
  <c r="Y76" i="1"/>
  <c r="S21" i="1"/>
  <c r="S24" i="1" s="1"/>
  <c r="S37" i="1"/>
  <c r="V4" i="1"/>
  <c r="U43" i="1"/>
  <c r="U45" i="1" s="1"/>
  <c r="T32" i="1"/>
  <c r="T36" i="1" s="1"/>
  <c r="V16" i="1"/>
  <c r="U20" i="1"/>
  <c r="T44" i="1"/>
  <c r="T46" i="1" s="1"/>
  <c r="T53" i="1" s="1"/>
  <c r="T45" i="1"/>
  <c r="R66" i="4"/>
  <c r="Q68" i="4"/>
  <c r="R87" i="4"/>
  <c r="Q89" i="4"/>
  <c r="T127" i="5"/>
  <c r="T128" i="5" s="1"/>
  <c r="T129" i="5" s="1"/>
  <c r="U155" i="5"/>
  <c r="V154" i="5"/>
  <c r="V112" i="5"/>
  <c r="U113" i="5"/>
  <c r="S52" i="5"/>
  <c r="S95" i="5"/>
  <c r="U86" i="5"/>
  <c r="V83" i="5"/>
  <c r="V84" i="5" s="1"/>
  <c r="V85" i="5" s="1"/>
  <c r="Q45" i="4"/>
  <c r="U34" i="1"/>
  <c r="V33" i="1"/>
  <c r="U66" i="5"/>
  <c r="S44" i="5"/>
  <c r="S45" i="5" s="1"/>
  <c r="T43" i="5"/>
  <c r="T67" i="5" s="1"/>
  <c r="T70" i="5" l="1"/>
  <c r="T73" i="5" s="1"/>
  <c r="S72" i="5"/>
  <c r="N160" i="5"/>
  <c r="N161" i="5"/>
  <c r="O54" i="1"/>
  <c r="O57" i="1" s="1"/>
  <c r="AA33" i="5"/>
  <c r="Z34" i="5"/>
  <c r="V23" i="5"/>
  <c r="V24" i="5"/>
  <c r="W21" i="5"/>
  <c r="AC16" i="5"/>
  <c r="AB20" i="5"/>
  <c r="AA36" i="5"/>
  <c r="AB32" i="5"/>
  <c r="V39" i="5"/>
  <c r="W37" i="5"/>
  <c r="V40" i="5"/>
  <c r="AA33" i="4"/>
  <c r="Z34" i="4"/>
  <c r="AA36" i="4"/>
  <c r="AB32" i="4"/>
  <c r="W39" i="4"/>
  <c r="X37" i="4"/>
  <c r="W40" i="4"/>
  <c r="V23" i="4"/>
  <c r="W21" i="4"/>
  <c r="V24" i="4"/>
  <c r="AD16" i="4"/>
  <c r="AC20" i="4"/>
  <c r="T65" i="1"/>
  <c r="S66" i="1"/>
  <c r="S68" i="1" s="1"/>
  <c r="T86" i="1"/>
  <c r="S87" i="1"/>
  <c r="S89" i="1" s="1"/>
  <c r="N56" i="1"/>
  <c r="N80" i="1"/>
  <c r="O77" i="1"/>
  <c r="N79" i="1"/>
  <c r="S39" i="1"/>
  <c r="S40" i="1"/>
  <c r="S23" i="1"/>
  <c r="U17" i="1"/>
  <c r="O158" i="5"/>
  <c r="Q118" i="5"/>
  <c r="R116" i="5"/>
  <c r="R119" i="5" s="1"/>
  <c r="U111" i="5"/>
  <c r="T115" i="5"/>
  <c r="V65" i="5"/>
  <c r="U69" i="5"/>
  <c r="O79" i="4"/>
  <c r="P77" i="4"/>
  <c r="P80" i="4" s="1"/>
  <c r="O100" i="4"/>
  <c r="P98" i="4"/>
  <c r="P101" i="4" s="1"/>
  <c r="V76" i="4"/>
  <c r="M56" i="4"/>
  <c r="N54" i="4"/>
  <c r="N57" i="4" s="1"/>
  <c r="W50" i="4"/>
  <c r="V53" i="4"/>
  <c r="O100" i="1"/>
  <c r="P98" i="1"/>
  <c r="P101" i="1" s="1"/>
  <c r="AA76" i="1"/>
  <c r="T21" i="1"/>
  <c r="T24" i="1" s="1"/>
  <c r="O56" i="1"/>
  <c r="T37" i="1"/>
  <c r="W4" i="1"/>
  <c r="V43" i="1"/>
  <c r="V45" i="1" s="1"/>
  <c r="U32" i="1"/>
  <c r="U36" i="1" s="1"/>
  <c r="W16" i="1"/>
  <c r="V20" i="1"/>
  <c r="S87" i="4"/>
  <c r="R89" i="4"/>
  <c r="S66" i="4"/>
  <c r="R68" i="4"/>
  <c r="V155" i="5"/>
  <c r="W154" i="5"/>
  <c r="U127" i="5"/>
  <c r="U128" i="5" s="1"/>
  <c r="U129" i="5" s="1"/>
  <c r="W112" i="5"/>
  <c r="V113" i="5"/>
  <c r="T52" i="5"/>
  <c r="T95" i="5"/>
  <c r="W83" i="5"/>
  <c r="W84" i="5" s="1"/>
  <c r="W85" i="5" s="1"/>
  <c r="V86" i="5"/>
  <c r="R45" i="4"/>
  <c r="W33" i="1"/>
  <c r="V34" i="1"/>
  <c r="V66" i="5"/>
  <c r="T44" i="5"/>
  <c r="T45" i="5" s="1"/>
  <c r="U43" i="5"/>
  <c r="U67" i="5" s="1"/>
  <c r="T72" i="5" l="1"/>
  <c r="O160" i="5"/>
  <c r="O161" i="5"/>
  <c r="P54" i="1"/>
  <c r="P57" i="1" s="1"/>
  <c r="AD16" i="5"/>
  <c r="AC20" i="5"/>
  <c r="AC32" i="5"/>
  <c r="AB36" i="5"/>
  <c r="AB33" i="5"/>
  <c r="AA34" i="5"/>
  <c r="W23" i="5"/>
  <c r="X21" i="5"/>
  <c r="W24" i="5"/>
  <c r="W39" i="5"/>
  <c r="X37" i="5"/>
  <c r="W40" i="5"/>
  <c r="AE16" i="4"/>
  <c r="AD20" i="4"/>
  <c r="W24" i="4"/>
  <c r="W23" i="4"/>
  <c r="X21" i="4"/>
  <c r="AA34" i="4"/>
  <c r="AB33" i="4"/>
  <c r="AC32" i="4"/>
  <c r="AB36" i="4"/>
  <c r="X40" i="4"/>
  <c r="X39" i="4"/>
  <c r="Y37" i="4"/>
  <c r="U86" i="1"/>
  <c r="T87" i="1"/>
  <c r="U65" i="1"/>
  <c r="T66" i="1"/>
  <c r="P77" i="1"/>
  <c r="O80" i="1"/>
  <c r="O79" i="1"/>
  <c r="T39" i="1"/>
  <c r="T40" i="1"/>
  <c r="T23" i="1"/>
  <c r="V17" i="1"/>
  <c r="U70" i="5"/>
  <c r="P158" i="5"/>
  <c r="V111" i="5"/>
  <c r="U115" i="5"/>
  <c r="R118" i="5"/>
  <c r="S116" i="5"/>
  <c r="S119" i="5" s="1"/>
  <c r="W65" i="5"/>
  <c r="V69" i="5"/>
  <c r="P100" i="4"/>
  <c r="Q98" i="4"/>
  <c r="Q101" i="4" s="1"/>
  <c r="P79" i="4"/>
  <c r="Q77" i="4"/>
  <c r="Q80" i="4" s="1"/>
  <c r="W76" i="4"/>
  <c r="N56" i="4"/>
  <c r="O54" i="4"/>
  <c r="O57" i="4" s="1"/>
  <c r="X50" i="4"/>
  <c r="W53" i="4"/>
  <c r="P100" i="1"/>
  <c r="Q98" i="1"/>
  <c r="Q101" i="1" s="1"/>
  <c r="AB76" i="1"/>
  <c r="U21" i="1"/>
  <c r="U24" i="1" s="1"/>
  <c r="Q54" i="1"/>
  <c r="Q57" i="1" s="1"/>
  <c r="U37" i="1"/>
  <c r="X4" i="1"/>
  <c r="W43" i="1"/>
  <c r="V32" i="1"/>
  <c r="V36" i="1" s="1"/>
  <c r="X16" i="1"/>
  <c r="W20" i="1"/>
  <c r="T66" i="4"/>
  <c r="S68" i="4"/>
  <c r="T87" i="4"/>
  <c r="S89" i="4"/>
  <c r="V127" i="5"/>
  <c r="V128" i="5" s="1"/>
  <c r="V129" i="5" s="1"/>
  <c r="X154" i="5"/>
  <c r="W155" i="5"/>
  <c r="X112" i="5"/>
  <c r="W113" i="5"/>
  <c r="U52" i="5"/>
  <c r="U95" i="5"/>
  <c r="X83" i="5"/>
  <c r="X84" i="5" s="1"/>
  <c r="X85" i="5" s="1"/>
  <c r="W86" i="5"/>
  <c r="S45" i="4"/>
  <c r="X33" i="1"/>
  <c r="W34" i="1"/>
  <c r="W66" i="5"/>
  <c r="U44" i="5"/>
  <c r="U45" i="5" s="1"/>
  <c r="V43" i="5"/>
  <c r="V67" i="5" s="1"/>
  <c r="P160" i="5" l="1"/>
  <c r="P161" i="5"/>
  <c r="P56" i="1"/>
  <c r="U72" i="5"/>
  <c r="U73" i="5"/>
  <c r="X24" i="5"/>
  <c r="X23" i="5"/>
  <c r="Y21" i="5"/>
  <c r="X40" i="5"/>
  <c r="X39" i="5"/>
  <c r="Y37" i="5"/>
  <c r="AD32" i="5"/>
  <c r="AC36" i="5"/>
  <c r="AB34" i="5"/>
  <c r="AC33" i="5"/>
  <c r="AE16" i="5"/>
  <c r="AD20" i="5"/>
  <c r="Y39" i="4"/>
  <c r="Z37" i="4"/>
  <c r="Y40" i="4"/>
  <c r="AB34" i="4"/>
  <c r="AC33" i="4"/>
  <c r="AD32" i="4"/>
  <c r="AC36" i="4"/>
  <c r="X23" i="4"/>
  <c r="Y21" i="4"/>
  <c r="X24" i="4"/>
  <c r="AF16" i="4"/>
  <c r="AE20" i="4"/>
  <c r="V65" i="1"/>
  <c r="U66" i="1"/>
  <c r="U68" i="1" s="1"/>
  <c r="V86" i="1"/>
  <c r="U87" i="1"/>
  <c r="U89" i="1" s="1"/>
  <c r="T68" i="1"/>
  <c r="T67" i="1"/>
  <c r="T69" i="1" s="1"/>
  <c r="T76" i="1" s="1"/>
  <c r="T88" i="1"/>
  <c r="T90" i="1" s="1"/>
  <c r="T97" i="1" s="1"/>
  <c r="T89" i="1"/>
  <c r="V70" i="5"/>
  <c r="P80" i="1"/>
  <c r="Q77" i="1"/>
  <c r="P79" i="1"/>
  <c r="U39" i="1"/>
  <c r="U40" i="1"/>
  <c r="W17" i="1"/>
  <c r="U23" i="1"/>
  <c r="Q158" i="5"/>
  <c r="S118" i="5"/>
  <c r="T116" i="5"/>
  <c r="T119" i="5" s="1"/>
  <c r="W111" i="5"/>
  <c r="V115" i="5"/>
  <c r="X65" i="5"/>
  <c r="W69" i="5"/>
  <c r="Q79" i="4"/>
  <c r="R77" i="4"/>
  <c r="R80" i="4" s="1"/>
  <c r="Q100" i="4"/>
  <c r="R98" i="4"/>
  <c r="R101" i="4" s="1"/>
  <c r="X76" i="4"/>
  <c r="O56" i="4"/>
  <c r="P54" i="4"/>
  <c r="P57" i="4" s="1"/>
  <c r="Y50" i="4"/>
  <c r="X53" i="4"/>
  <c r="Q100" i="1"/>
  <c r="R98" i="1"/>
  <c r="R101" i="1" s="1"/>
  <c r="AD76" i="1"/>
  <c r="V21" i="1"/>
  <c r="V24" i="1" s="1"/>
  <c r="R54" i="1"/>
  <c r="R57" i="1" s="1"/>
  <c r="Q56" i="1"/>
  <c r="V37" i="1"/>
  <c r="Y4" i="1"/>
  <c r="X43" i="1"/>
  <c r="X45" i="1" s="1"/>
  <c r="W32" i="1"/>
  <c r="W36" i="1" s="1"/>
  <c r="Y16" i="1"/>
  <c r="X20" i="1"/>
  <c r="W44" i="1"/>
  <c r="W46" i="1" s="1"/>
  <c r="W53" i="1" s="1"/>
  <c r="W45" i="1"/>
  <c r="U87" i="4"/>
  <c r="T89" i="4"/>
  <c r="U66" i="4"/>
  <c r="T68" i="4"/>
  <c r="Y154" i="5"/>
  <c r="X155" i="5"/>
  <c r="W127" i="5"/>
  <c r="W128" i="5" s="1"/>
  <c r="W129" i="5" s="1"/>
  <c r="X113" i="5"/>
  <c r="Y112" i="5"/>
  <c r="V52" i="5"/>
  <c r="V95" i="5"/>
  <c r="X86" i="5"/>
  <c r="Y83" i="5"/>
  <c r="Y84" i="5" s="1"/>
  <c r="Y85" i="5" s="1"/>
  <c r="T45" i="4"/>
  <c r="X34" i="1"/>
  <c r="Y33" i="1"/>
  <c r="X66" i="5"/>
  <c r="V44" i="5"/>
  <c r="V45" i="5" s="1"/>
  <c r="W43" i="5"/>
  <c r="W67" i="5" s="1"/>
  <c r="Q160" i="5" l="1"/>
  <c r="Q161" i="5"/>
  <c r="AC34" i="5"/>
  <c r="AD33" i="5"/>
  <c r="Y39" i="5"/>
  <c r="Z37" i="5"/>
  <c r="Y40" i="5"/>
  <c r="V72" i="5"/>
  <c r="V73" i="5"/>
  <c r="W70" i="5"/>
  <c r="AF16" i="5"/>
  <c r="AE20" i="5"/>
  <c r="AE32" i="5"/>
  <c r="AD36" i="5"/>
  <c r="Y24" i="5"/>
  <c r="Z21" i="5"/>
  <c r="Y23" i="5"/>
  <c r="AF20" i="4"/>
  <c r="AG16" i="4"/>
  <c r="Y23" i="4"/>
  <c r="Z21" i="4"/>
  <c r="Y24" i="4"/>
  <c r="AD33" i="4"/>
  <c r="AC34" i="4"/>
  <c r="AD36" i="4"/>
  <c r="AE32" i="4"/>
  <c r="Z39" i="4"/>
  <c r="AA37" i="4"/>
  <c r="Z40" i="4"/>
  <c r="W86" i="1"/>
  <c r="V87" i="1"/>
  <c r="V89" i="1" s="1"/>
  <c r="W65" i="1"/>
  <c r="V66" i="1"/>
  <c r="V68" i="1" s="1"/>
  <c r="Q80" i="1"/>
  <c r="R77" i="1"/>
  <c r="Q79" i="1"/>
  <c r="V39" i="1"/>
  <c r="V40" i="1"/>
  <c r="W21" i="1"/>
  <c r="W24" i="1" s="1"/>
  <c r="X17" i="1"/>
  <c r="R158" i="5"/>
  <c r="T118" i="5"/>
  <c r="U116" i="5"/>
  <c r="U119" i="5" s="1"/>
  <c r="X111" i="5"/>
  <c r="W115" i="5"/>
  <c r="Y65" i="5"/>
  <c r="X69" i="5"/>
  <c r="R100" i="4"/>
  <c r="S98" i="4"/>
  <c r="S101" i="4" s="1"/>
  <c r="R79" i="4"/>
  <c r="S77" i="4"/>
  <c r="S80" i="4" s="1"/>
  <c r="Y76" i="4"/>
  <c r="P56" i="4"/>
  <c r="Q54" i="4"/>
  <c r="Q57" i="4" s="1"/>
  <c r="Z50" i="4"/>
  <c r="Y53" i="4"/>
  <c r="R100" i="1"/>
  <c r="S98" i="1"/>
  <c r="S101" i="1" s="1"/>
  <c r="V23" i="1"/>
  <c r="AE76" i="1"/>
  <c r="S54" i="1"/>
  <c r="S57" i="1" s="1"/>
  <c r="R56" i="1"/>
  <c r="W37" i="1"/>
  <c r="Z4" i="1"/>
  <c r="Y43" i="1"/>
  <c r="Y45" i="1" s="1"/>
  <c r="X32" i="1"/>
  <c r="X36" i="1" s="1"/>
  <c r="Z16" i="1"/>
  <c r="Y20" i="1"/>
  <c r="V66" i="4"/>
  <c r="U68" i="4"/>
  <c r="V87" i="4"/>
  <c r="U89" i="4"/>
  <c r="X127" i="5"/>
  <c r="X128" i="5" s="1"/>
  <c r="X129" i="5" s="1"/>
  <c r="Y155" i="5"/>
  <c r="Z154" i="5"/>
  <c r="Y113" i="5"/>
  <c r="Z112" i="5"/>
  <c r="W52" i="5"/>
  <c r="W95" i="5"/>
  <c r="Y86" i="5"/>
  <c r="Z83" i="5"/>
  <c r="Z84" i="5" s="1"/>
  <c r="Z85" i="5" s="1"/>
  <c r="U45" i="4"/>
  <c r="Y34" i="1"/>
  <c r="Z33" i="1"/>
  <c r="Y66" i="5"/>
  <c r="W44" i="5"/>
  <c r="W45" i="5" s="1"/>
  <c r="X43" i="5"/>
  <c r="X67" i="5" s="1"/>
  <c r="R160" i="5" l="1"/>
  <c r="R161" i="5"/>
  <c r="W72" i="5"/>
  <c r="W73" i="5"/>
  <c r="AE36" i="5"/>
  <c r="AF32" i="5"/>
  <c r="Z23" i="5"/>
  <c r="Z24" i="5"/>
  <c r="AA21" i="5"/>
  <c r="AE33" i="5"/>
  <c r="AD34" i="5"/>
  <c r="Z39" i="5"/>
  <c r="AA37" i="5"/>
  <c r="Z40" i="5"/>
  <c r="X70" i="5"/>
  <c r="AF20" i="5"/>
  <c r="AG16" i="5"/>
  <c r="Z23" i="4"/>
  <c r="AA21" i="4"/>
  <c r="Z24" i="4"/>
  <c r="AA39" i="4"/>
  <c r="AB37" i="4"/>
  <c r="AA40" i="4"/>
  <c r="AE33" i="4"/>
  <c r="AD34" i="4"/>
  <c r="B22" i="4"/>
  <c r="AG22" i="4"/>
  <c r="AE36" i="4"/>
  <c r="AF32" i="4"/>
  <c r="X65" i="1"/>
  <c r="W66" i="1"/>
  <c r="X86" i="1"/>
  <c r="W87" i="1"/>
  <c r="R80" i="1"/>
  <c r="S77" i="1"/>
  <c r="R79" i="1"/>
  <c r="W39" i="1"/>
  <c r="W40" i="1"/>
  <c r="X21" i="1"/>
  <c r="X24" i="1" s="1"/>
  <c r="Y17" i="1"/>
  <c r="W23" i="1"/>
  <c r="S158" i="5"/>
  <c r="U118" i="5"/>
  <c r="V116" i="5"/>
  <c r="V119" i="5" s="1"/>
  <c r="Y111" i="5"/>
  <c r="X115" i="5"/>
  <c r="Z65" i="5"/>
  <c r="Y69" i="5"/>
  <c r="S79" i="4"/>
  <c r="T77" i="4"/>
  <c r="T80" i="4" s="1"/>
  <c r="S100" i="4"/>
  <c r="T98" i="4"/>
  <c r="T101" i="4" s="1"/>
  <c r="Z76" i="4"/>
  <c r="Q56" i="4"/>
  <c r="R54" i="4"/>
  <c r="R57" i="4" s="1"/>
  <c r="AA50" i="4"/>
  <c r="Z53" i="4"/>
  <c r="S100" i="1"/>
  <c r="T98" i="1"/>
  <c r="T101" i="1" s="1"/>
  <c r="S56" i="1"/>
  <c r="T54" i="1"/>
  <c r="T57" i="1" s="1"/>
  <c r="X37" i="1"/>
  <c r="AA4" i="1"/>
  <c r="Z43" i="1"/>
  <c r="Z45" i="1" s="1"/>
  <c r="Y32" i="1"/>
  <c r="Y36" i="1" s="1"/>
  <c r="AA16" i="1"/>
  <c r="Z20" i="1"/>
  <c r="W87" i="4"/>
  <c r="V89" i="4"/>
  <c r="W66" i="4"/>
  <c r="V68" i="4"/>
  <c r="Z155" i="5"/>
  <c r="AA154" i="5"/>
  <c r="Y127" i="5"/>
  <c r="Y128" i="5" s="1"/>
  <c r="Y129" i="5" s="1"/>
  <c r="AA112" i="5"/>
  <c r="Z113" i="5"/>
  <c r="X52" i="5"/>
  <c r="X95" i="5"/>
  <c r="AA83" i="5"/>
  <c r="AA84" i="5" s="1"/>
  <c r="AA85" i="5" s="1"/>
  <c r="Z86" i="5"/>
  <c r="V45" i="4"/>
  <c r="AA33" i="1"/>
  <c r="Z34" i="1"/>
  <c r="Z66" i="5"/>
  <c r="X44" i="5"/>
  <c r="X45" i="5" s="1"/>
  <c r="Y43" i="5"/>
  <c r="Y67" i="5" s="1"/>
  <c r="S160" i="5" l="1"/>
  <c r="S161" i="5"/>
  <c r="AF36" i="5"/>
  <c r="AG32" i="5"/>
  <c r="AA39" i="5"/>
  <c r="AB37" i="5"/>
  <c r="AA40" i="5"/>
  <c r="AF33" i="5"/>
  <c r="AF34" i="5" s="1"/>
  <c r="AE34" i="5"/>
  <c r="AG22" i="5"/>
  <c r="B22" i="5"/>
  <c r="B76" i="5" s="1"/>
  <c r="AA23" i="5"/>
  <c r="AB21" i="5"/>
  <c r="AA24" i="5"/>
  <c r="X72" i="5"/>
  <c r="X73" i="5"/>
  <c r="AE34" i="4"/>
  <c r="AF33" i="4"/>
  <c r="AF34" i="4" s="1"/>
  <c r="AB40" i="4"/>
  <c r="AB39" i="4"/>
  <c r="AC37" i="4"/>
  <c r="AF36" i="4"/>
  <c r="AG32" i="4"/>
  <c r="AA24" i="4"/>
  <c r="AA23" i="4"/>
  <c r="AB21" i="4"/>
  <c r="W89" i="1"/>
  <c r="W88" i="1"/>
  <c r="W90" i="1" s="1"/>
  <c r="W97" i="1" s="1"/>
  <c r="Y86" i="1"/>
  <c r="X87" i="1"/>
  <c r="X89" i="1" s="1"/>
  <c r="Y65" i="1"/>
  <c r="X66" i="1"/>
  <c r="X68" i="1" s="1"/>
  <c r="W68" i="1"/>
  <c r="W67" i="1"/>
  <c r="W69" i="1" s="1"/>
  <c r="W76" i="1" s="1"/>
  <c r="S80" i="1"/>
  <c r="T77" i="1"/>
  <c r="S79" i="1"/>
  <c r="X39" i="1"/>
  <c r="X40" i="1"/>
  <c r="X23" i="1"/>
  <c r="Y21" i="1"/>
  <c r="Y24" i="1" s="1"/>
  <c r="Z17" i="1"/>
  <c r="Y70" i="5"/>
  <c r="T158" i="5"/>
  <c r="V118" i="5"/>
  <c r="W116" i="5"/>
  <c r="W119" i="5" s="1"/>
  <c r="Z111" i="5"/>
  <c r="Y115" i="5"/>
  <c r="AA65" i="5"/>
  <c r="Z69" i="5"/>
  <c r="T100" i="4"/>
  <c r="U98" i="4"/>
  <c r="U101" i="4" s="1"/>
  <c r="U77" i="4"/>
  <c r="U80" i="4" s="1"/>
  <c r="T79" i="4"/>
  <c r="AA76" i="4"/>
  <c r="R56" i="4"/>
  <c r="S54" i="4"/>
  <c r="S57" i="4" s="1"/>
  <c r="AB50" i="4"/>
  <c r="AA53" i="4"/>
  <c r="T100" i="1"/>
  <c r="U98" i="1"/>
  <c r="U101" i="1" s="1"/>
  <c r="U54" i="1"/>
  <c r="U57" i="1" s="1"/>
  <c r="T56" i="1"/>
  <c r="Y37" i="1"/>
  <c r="AB4" i="1"/>
  <c r="AA43" i="1"/>
  <c r="AA45" i="1" s="1"/>
  <c r="Z32" i="1"/>
  <c r="Z36" i="1" s="1"/>
  <c r="AB16" i="1"/>
  <c r="AA20" i="1"/>
  <c r="X66" i="4"/>
  <c r="W68" i="4"/>
  <c r="X87" i="4"/>
  <c r="W89" i="4"/>
  <c r="Z127" i="5"/>
  <c r="Z128" i="5" s="1"/>
  <c r="Z129" i="5" s="1"/>
  <c r="AB154" i="5"/>
  <c r="AA155" i="5"/>
  <c r="AA113" i="5"/>
  <c r="AB112" i="5"/>
  <c r="Y52" i="5"/>
  <c r="Y95" i="5"/>
  <c r="AB83" i="5"/>
  <c r="AB84" i="5" s="1"/>
  <c r="AB85" i="5" s="1"/>
  <c r="AA86" i="5"/>
  <c r="W45" i="4"/>
  <c r="AB33" i="1"/>
  <c r="AA34" i="1"/>
  <c r="AA66" i="5"/>
  <c r="Y44" i="5"/>
  <c r="Y45" i="5" s="1"/>
  <c r="Z43" i="5"/>
  <c r="Z67" i="5" s="1"/>
  <c r="Z44" i="1"/>
  <c r="Z46" i="1" s="1"/>
  <c r="Z53" i="1" s="1"/>
  <c r="T160" i="5" l="1"/>
  <c r="T161" i="5"/>
  <c r="AB40" i="5"/>
  <c r="AB39" i="5"/>
  <c r="AC37" i="5"/>
  <c r="AB24" i="5"/>
  <c r="AB23" i="5"/>
  <c r="AC21" i="5"/>
  <c r="B38" i="5"/>
  <c r="B77" i="5" s="1"/>
  <c r="AG38" i="5"/>
  <c r="Y72" i="5"/>
  <c r="Y73" i="5"/>
  <c r="B38" i="4"/>
  <c r="B61" i="4" s="1"/>
  <c r="AG38" i="4"/>
  <c r="AB23" i="4"/>
  <c r="AC21" i="4"/>
  <c r="AB24" i="4"/>
  <c r="AC39" i="4"/>
  <c r="AD37" i="4"/>
  <c r="AC40" i="4"/>
  <c r="Z86" i="1"/>
  <c r="Y87" i="1"/>
  <c r="Y89" i="1" s="1"/>
  <c r="Z65" i="1"/>
  <c r="Y66" i="1"/>
  <c r="Y68" i="1" s="1"/>
  <c r="T80" i="1"/>
  <c r="U77" i="1"/>
  <c r="T79" i="1"/>
  <c r="Y39" i="1"/>
  <c r="Y40" i="1"/>
  <c r="Y23" i="1"/>
  <c r="Z21" i="1"/>
  <c r="AA17" i="1"/>
  <c r="Z70" i="5"/>
  <c r="U158" i="5"/>
  <c r="AA111" i="5"/>
  <c r="Z115" i="5"/>
  <c r="W118" i="5"/>
  <c r="X116" i="5"/>
  <c r="X119" i="5" s="1"/>
  <c r="AB65" i="5"/>
  <c r="AA69" i="5"/>
  <c r="U79" i="4"/>
  <c r="V77" i="4"/>
  <c r="V80" i="4" s="1"/>
  <c r="U100" i="4"/>
  <c r="V98" i="4"/>
  <c r="V101" i="4" s="1"/>
  <c r="AB76" i="4"/>
  <c r="S56" i="4"/>
  <c r="T54" i="4"/>
  <c r="T57" i="4" s="1"/>
  <c r="AC50" i="4"/>
  <c r="AB53" i="4"/>
  <c r="U100" i="1"/>
  <c r="V98" i="1"/>
  <c r="V101" i="1" s="1"/>
  <c r="V54" i="1"/>
  <c r="V57" i="1" s="1"/>
  <c r="U56" i="1"/>
  <c r="Z37" i="1"/>
  <c r="AC4" i="1"/>
  <c r="AB43" i="1"/>
  <c r="AB45" i="1" s="1"/>
  <c r="AA32" i="1"/>
  <c r="AA36" i="1" s="1"/>
  <c r="AC16" i="1"/>
  <c r="AB20" i="1"/>
  <c r="Y87" i="4"/>
  <c r="X89" i="4"/>
  <c r="Y66" i="4"/>
  <c r="X68" i="4"/>
  <c r="AA127" i="5"/>
  <c r="AA128" i="5" s="1"/>
  <c r="AA129" i="5" s="1"/>
  <c r="AC154" i="5"/>
  <c r="AB155" i="5"/>
  <c r="AB113" i="5"/>
  <c r="AC112" i="5"/>
  <c r="Z52" i="5"/>
  <c r="Z95" i="5"/>
  <c r="AB86" i="5"/>
  <c r="AC83" i="5"/>
  <c r="AC84" i="5" s="1"/>
  <c r="AC85" i="5" s="1"/>
  <c r="X45" i="4"/>
  <c r="AC33" i="1"/>
  <c r="AB34" i="1"/>
  <c r="AB66" i="5"/>
  <c r="Z44" i="5"/>
  <c r="Z45" i="5" s="1"/>
  <c r="AA43" i="5"/>
  <c r="AA67" i="5" s="1"/>
  <c r="U160" i="5" l="1"/>
  <c r="U161" i="5"/>
  <c r="Z72" i="5"/>
  <c r="Z73" i="5"/>
  <c r="AC39" i="5"/>
  <c r="AD37" i="5"/>
  <c r="AC40" i="5"/>
  <c r="AC23" i="5"/>
  <c r="AD21" i="5"/>
  <c r="AC24" i="5"/>
  <c r="AC23" i="4"/>
  <c r="AD21" i="4"/>
  <c r="AC24" i="4"/>
  <c r="AD39" i="4"/>
  <c r="AE37" i="4"/>
  <c r="AD40" i="4"/>
  <c r="AA65" i="1"/>
  <c r="Z66" i="1"/>
  <c r="AA86" i="1"/>
  <c r="Z87" i="1"/>
  <c r="U80" i="1"/>
  <c r="V77" i="1"/>
  <c r="U79" i="1"/>
  <c r="Z39" i="1"/>
  <c r="Z40" i="1"/>
  <c r="Z24" i="1"/>
  <c r="Z23" i="1"/>
  <c r="AA21" i="1"/>
  <c r="AB17" i="1"/>
  <c r="AA70" i="5"/>
  <c r="V158" i="5"/>
  <c r="X118" i="5"/>
  <c r="Y116" i="5"/>
  <c r="Y119" i="5" s="1"/>
  <c r="AB111" i="5"/>
  <c r="AA115" i="5"/>
  <c r="AC65" i="5"/>
  <c r="AB69" i="5"/>
  <c r="V100" i="4"/>
  <c r="W98" i="4"/>
  <c r="W101" i="4" s="1"/>
  <c r="V79" i="4"/>
  <c r="W77" i="4"/>
  <c r="W80" i="4" s="1"/>
  <c r="AC76" i="4"/>
  <c r="T56" i="4"/>
  <c r="U54" i="4"/>
  <c r="U57" i="4" s="1"/>
  <c r="AD50" i="4"/>
  <c r="AC53" i="4"/>
  <c r="V100" i="1"/>
  <c r="W98" i="1"/>
  <c r="W101" i="1" s="1"/>
  <c r="V56" i="1"/>
  <c r="W54" i="1"/>
  <c r="W57" i="1" s="1"/>
  <c r="AA37" i="1"/>
  <c r="AD4" i="1"/>
  <c r="AC43" i="1"/>
  <c r="AC45" i="1" s="1"/>
  <c r="AB32" i="1"/>
  <c r="AB36" i="1" s="1"/>
  <c r="AD16" i="1"/>
  <c r="AC20" i="1"/>
  <c r="Z66" i="4"/>
  <c r="Y68" i="4"/>
  <c r="Z87" i="4"/>
  <c r="Y89" i="4"/>
  <c r="AC155" i="5"/>
  <c r="AD154" i="5"/>
  <c r="AB127" i="5"/>
  <c r="AB128" i="5" s="1"/>
  <c r="AB129" i="5" s="1"/>
  <c r="AD112" i="5"/>
  <c r="AC113" i="5"/>
  <c r="AA52" i="5"/>
  <c r="AA95" i="5"/>
  <c r="AC86" i="5"/>
  <c r="AD83" i="5"/>
  <c r="AD84" i="5" s="1"/>
  <c r="AD85" i="5" s="1"/>
  <c r="Y45" i="4"/>
  <c r="AC34" i="1"/>
  <c r="AD33" i="1"/>
  <c r="AC66" i="5"/>
  <c r="AA44" i="5"/>
  <c r="AA45" i="5" s="1"/>
  <c r="AB43" i="5"/>
  <c r="AB67" i="5" s="1"/>
  <c r="V160" i="5" l="1"/>
  <c r="V161" i="5"/>
  <c r="AA72" i="5"/>
  <c r="AA73" i="5"/>
  <c r="AD39" i="5"/>
  <c r="AE37" i="5"/>
  <c r="AD40" i="5"/>
  <c r="AB70" i="5"/>
  <c r="AD23" i="5"/>
  <c r="AE21" i="5"/>
  <c r="AD24" i="5"/>
  <c r="AE39" i="4"/>
  <c r="AF37" i="4"/>
  <c r="AE40" i="4"/>
  <c r="AD23" i="4"/>
  <c r="AE21" i="4"/>
  <c r="AD24" i="4"/>
  <c r="AB65" i="1"/>
  <c r="AA66" i="1"/>
  <c r="AA68" i="1" s="1"/>
  <c r="AB86" i="1"/>
  <c r="AA87" i="1"/>
  <c r="AA89" i="1" s="1"/>
  <c r="Z88" i="1"/>
  <c r="Z90" i="1" s="1"/>
  <c r="Z97" i="1" s="1"/>
  <c r="Z89" i="1"/>
  <c r="Z68" i="1"/>
  <c r="Z67" i="1"/>
  <c r="Z69" i="1" s="1"/>
  <c r="Z76" i="1" s="1"/>
  <c r="V80" i="1"/>
  <c r="W77" i="1"/>
  <c r="V79" i="1"/>
  <c r="AA39" i="1"/>
  <c r="AA40" i="1"/>
  <c r="AA24" i="1"/>
  <c r="AA23" i="1"/>
  <c r="AB21" i="1"/>
  <c r="AC17" i="1"/>
  <c r="W158" i="5"/>
  <c r="Y118" i="5"/>
  <c r="Z116" i="5"/>
  <c r="Z119" i="5" s="1"/>
  <c r="AC111" i="5"/>
  <c r="AB115" i="5"/>
  <c r="AD65" i="5"/>
  <c r="AC69" i="5"/>
  <c r="X77" i="4"/>
  <c r="X80" i="4" s="1"/>
  <c r="W79" i="4"/>
  <c r="W100" i="4"/>
  <c r="X98" i="4"/>
  <c r="X101" i="4" s="1"/>
  <c r="AD76" i="4"/>
  <c r="U56" i="4"/>
  <c r="V54" i="4"/>
  <c r="V57" i="4" s="1"/>
  <c r="AE50" i="4"/>
  <c r="AD53" i="4"/>
  <c r="W100" i="1"/>
  <c r="X98" i="1"/>
  <c r="X101" i="1" s="1"/>
  <c r="X54" i="1"/>
  <c r="X57" i="1" s="1"/>
  <c r="W56" i="1"/>
  <c r="AB37" i="1"/>
  <c r="AE4" i="1"/>
  <c r="AD43" i="1"/>
  <c r="AD45" i="1" s="1"/>
  <c r="AC32" i="1"/>
  <c r="AC36" i="1" s="1"/>
  <c r="AE16" i="1"/>
  <c r="AD20" i="1"/>
  <c r="AA87" i="4"/>
  <c r="Z89" i="4"/>
  <c r="AA66" i="4"/>
  <c r="Z68" i="4"/>
  <c r="AC127" i="5"/>
  <c r="AC128" i="5" s="1"/>
  <c r="AC129" i="5" s="1"/>
  <c r="AD155" i="5"/>
  <c r="AE154" i="5"/>
  <c r="AE112" i="5"/>
  <c r="AD113" i="5"/>
  <c r="AB52" i="5"/>
  <c r="AB95" i="5"/>
  <c r="AE83" i="5"/>
  <c r="AE84" i="5" s="1"/>
  <c r="AE85" i="5" s="1"/>
  <c r="AD86" i="5"/>
  <c r="Z45" i="4"/>
  <c r="AD34" i="1"/>
  <c r="AE33" i="1"/>
  <c r="AD66" i="5"/>
  <c r="AB44" i="5"/>
  <c r="AB45" i="5" s="1"/>
  <c r="AC43" i="5"/>
  <c r="AC67" i="5" s="1"/>
  <c r="AC44" i="1"/>
  <c r="AC46" i="1" s="1"/>
  <c r="AC53" i="1" s="1"/>
  <c r="AC70" i="5" l="1"/>
  <c r="AC72" i="5" s="1"/>
  <c r="W160" i="5"/>
  <c r="W161" i="5"/>
  <c r="AE23" i="5"/>
  <c r="AF21" i="5"/>
  <c r="AE24" i="5"/>
  <c r="AE39" i="5"/>
  <c r="AF37" i="5"/>
  <c r="AE40" i="5"/>
  <c r="AB72" i="5"/>
  <c r="AB73" i="5"/>
  <c r="AF40" i="4"/>
  <c r="AF39" i="4"/>
  <c r="AE24" i="4"/>
  <c r="AE23" i="4"/>
  <c r="AF21" i="4"/>
  <c r="AC86" i="1"/>
  <c r="AB87" i="1"/>
  <c r="AB89" i="1" s="1"/>
  <c r="AC65" i="1"/>
  <c r="AB66" i="1"/>
  <c r="AB68" i="1" s="1"/>
  <c r="W80" i="1"/>
  <c r="X77" i="1"/>
  <c r="W79" i="1"/>
  <c r="AB39" i="1"/>
  <c r="AB40" i="1"/>
  <c r="AB24" i="1"/>
  <c r="AB23" i="1"/>
  <c r="AC21" i="1"/>
  <c r="AD17" i="1"/>
  <c r="X158" i="5"/>
  <c r="Z118" i="5"/>
  <c r="AA116" i="5"/>
  <c r="AA119" i="5" s="1"/>
  <c r="AD111" i="5"/>
  <c r="AC115" i="5"/>
  <c r="AE65" i="5"/>
  <c r="AD69" i="5"/>
  <c r="X100" i="4"/>
  <c r="Y98" i="4"/>
  <c r="Y101" i="4" s="1"/>
  <c r="X79" i="4"/>
  <c r="Y77" i="4"/>
  <c r="Y80" i="4" s="1"/>
  <c r="AE76" i="4"/>
  <c r="V56" i="4"/>
  <c r="W54" i="4"/>
  <c r="W57" i="4" s="1"/>
  <c r="AF50" i="4"/>
  <c r="AE53" i="4"/>
  <c r="X100" i="1"/>
  <c r="Y98" i="1"/>
  <c r="Y101" i="1" s="1"/>
  <c r="Y54" i="1"/>
  <c r="Y57" i="1" s="1"/>
  <c r="X56" i="1"/>
  <c r="AC37" i="1"/>
  <c r="AF4" i="1"/>
  <c r="AE43" i="1"/>
  <c r="AE45" i="1" s="1"/>
  <c r="AD32" i="1"/>
  <c r="AD36" i="1" s="1"/>
  <c r="AF16" i="1"/>
  <c r="AE20" i="1"/>
  <c r="AB66" i="4"/>
  <c r="AA68" i="4"/>
  <c r="AB87" i="4"/>
  <c r="AA89" i="4"/>
  <c r="AD127" i="5"/>
  <c r="AD128" i="5" s="1"/>
  <c r="AD129" i="5" s="1"/>
  <c r="AF154" i="5"/>
  <c r="AF155" i="5" s="1"/>
  <c r="AE155" i="5"/>
  <c r="AE113" i="5"/>
  <c r="AF112" i="5"/>
  <c r="AF113" i="5" s="1"/>
  <c r="AC52" i="5"/>
  <c r="AC95" i="5"/>
  <c r="AF83" i="5"/>
  <c r="AE86" i="5"/>
  <c r="AA45" i="4"/>
  <c r="AF33" i="1"/>
  <c r="AF34" i="1" s="1"/>
  <c r="AE34" i="1"/>
  <c r="AE66" i="5"/>
  <c r="AC44" i="5"/>
  <c r="AC45" i="5" s="1"/>
  <c r="AD43" i="5"/>
  <c r="AD67" i="5" s="1"/>
  <c r="AC73" i="5" l="1"/>
  <c r="X160" i="5"/>
  <c r="X161" i="5"/>
  <c r="AF24" i="5"/>
  <c r="AF23" i="5"/>
  <c r="AF40" i="5"/>
  <c r="AF39" i="5"/>
  <c r="AF23" i="4"/>
  <c r="AF24" i="4"/>
  <c r="AD86" i="1"/>
  <c r="AC87" i="1"/>
  <c r="AD65" i="1"/>
  <c r="AC66" i="1"/>
  <c r="AF43" i="1"/>
  <c r="X80" i="1"/>
  <c r="Y77" i="1"/>
  <c r="X79" i="1"/>
  <c r="AC39" i="1"/>
  <c r="AC40" i="1"/>
  <c r="AC24" i="1"/>
  <c r="AC23" i="1"/>
  <c r="AD21" i="1"/>
  <c r="AE17" i="1"/>
  <c r="AD70" i="5"/>
  <c r="Y158" i="5"/>
  <c r="AA118" i="5"/>
  <c r="AB116" i="5"/>
  <c r="AB119" i="5" s="1"/>
  <c r="AE111" i="5"/>
  <c r="AD115" i="5"/>
  <c r="AF65" i="5"/>
  <c r="AE69" i="5"/>
  <c r="Z77" i="4"/>
  <c r="Z80" i="4" s="1"/>
  <c r="Y79" i="4"/>
  <c r="Y100" i="4"/>
  <c r="Z98" i="4"/>
  <c r="Z101" i="4" s="1"/>
  <c r="AF76" i="4"/>
  <c r="W56" i="4"/>
  <c r="X54" i="4"/>
  <c r="X57" i="4" s="1"/>
  <c r="AF53" i="4"/>
  <c r="AG50" i="4"/>
  <c r="Y100" i="1"/>
  <c r="Z98" i="1"/>
  <c r="Z101" i="1" s="1"/>
  <c r="Y56" i="1"/>
  <c r="Z54" i="1"/>
  <c r="Z57" i="1" s="1"/>
  <c r="AD37" i="1"/>
  <c r="AE32" i="1"/>
  <c r="AE36" i="1" s="1"/>
  <c r="AF20" i="1"/>
  <c r="AG16" i="1"/>
  <c r="AC87" i="4"/>
  <c r="AB89" i="4"/>
  <c r="AC66" i="4"/>
  <c r="AB68" i="4"/>
  <c r="AE127" i="5"/>
  <c r="AE128" i="5" s="1"/>
  <c r="AE129" i="5" s="1"/>
  <c r="AF127" i="5"/>
  <c r="AF128" i="5" s="1"/>
  <c r="AF129" i="5" s="1"/>
  <c r="AD52" i="5"/>
  <c r="AD95" i="5"/>
  <c r="AF84" i="5"/>
  <c r="AF85" i="5" s="1"/>
  <c r="AF86" i="5" s="1"/>
  <c r="AB45" i="4"/>
  <c r="AF66" i="5"/>
  <c r="AD44" i="5"/>
  <c r="AD45" i="5" s="1"/>
  <c r="AE43" i="5"/>
  <c r="AE67" i="5" s="1"/>
  <c r="AG22" i="1" l="1"/>
  <c r="B20" i="7"/>
  <c r="B22" i="1"/>
  <c r="B60" i="1" s="1"/>
  <c r="Y160" i="5"/>
  <c r="Y161" i="5"/>
  <c r="AD72" i="5"/>
  <c r="AD73" i="5"/>
  <c r="AE65" i="1"/>
  <c r="AD66" i="1"/>
  <c r="AD68" i="1" s="1"/>
  <c r="AE86" i="1"/>
  <c r="AD87" i="1"/>
  <c r="AD89" i="1" s="1"/>
  <c r="AC68" i="1"/>
  <c r="AC67" i="1"/>
  <c r="AC69" i="1" s="1"/>
  <c r="AC76" i="1" s="1"/>
  <c r="AC89" i="1"/>
  <c r="AC88" i="1"/>
  <c r="AC90" i="1" s="1"/>
  <c r="AC97" i="1" s="1"/>
  <c r="Y80" i="1"/>
  <c r="Z77" i="1"/>
  <c r="Y79" i="1"/>
  <c r="AD39" i="1"/>
  <c r="AD40" i="1"/>
  <c r="AD24" i="1"/>
  <c r="AD23" i="1"/>
  <c r="AE21" i="1"/>
  <c r="AF21" i="1" s="1"/>
  <c r="AF24" i="1" s="1"/>
  <c r="AF17" i="1"/>
  <c r="Z158" i="5"/>
  <c r="AE70" i="5"/>
  <c r="AB118" i="5"/>
  <c r="AC116" i="5"/>
  <c r="AC119" i="5" s="1"/>
  <c r="AF111" i="5"/>
  <c r="AE115" i="5"/>
  <c r="AF69" i="5"/>
  <c r="AG65" i="5"/>
  <c r="Z100" i="4"/>
  <c r="AA98" i="4"/>
  <c r="AA101" i="4" s="1"/>
  <c r="Z79" i="4"/>
  <c r="AA77" i="4"/>
  <c r="AA80" i="4" s="1"/>
  <c r="B83" i="4"/>
  <c r="AG78" i="4"/>
  <c r="X56" i="4"/>
  <c r="Y54" i="4"/>
  <c r="Y57" i="4" s="1"/>
  <c r="B55" i="4"/>
  <c r="B62" i="4" s="1"/>
  <c r="AG55" i="4"/>
  <c r="B60" i="4"/>
  <c r="Z100" i="1"/>
  <c r="AA98" i="1"/>
  <c r="AA101" i="1" s="1"/>
  <c r="AA54" i="1"/>
  <c r="AA57" i="1" s="1"/>
  <c r="Z56" i="1"/>
  <c r="AE37" i="1"/>
  <c r="AF32" i="1"/>
  <c r="AF36" i="1" s="1"/>
  <c r="AF44" i="1"/>
  <c r="AG44" i="1" s="1"/>
  <c r="AF45" i="1"/>
  <c r="AD66" i="4"/>
  <c r="AC68" i="4"/>
  <c r="AD87" i="4"/>
  <c r="AC89" i="4"/>
  <c r="AE52" i="5"/>
  <c r="AE95" i="5"/>
  <c r="AC45" i="4"/>
  <c r="AE44" i="5"/>
  <c r="AE45" i="5" s="1"/>
  <c r="AF43" i="5"/>
  <c r="AF44" i="5" s="1"/>
  <c r="AF45" i="5" s="1"/>
  <c r="B71" i="5" l="1"/>
  <c r="B78" i="5" s="1"/>
  <c r="B48" i="7"/>
  <c r="Z160" i="5"/>
  <c r="Z161" i="5"/>
  <c r="AE72" i="5"/>
  <c r="AE73" i="5"/>
  <c r="AF86" i="1"/>
  <c r="AF87" i="1" s="1"/>
  <c r="AE87" i="1"/>
  <c r="AE89" i="1" s="1"/>
  <c r="AF65" i="1"/>
  <c r="AF66" i="1" s="1"/>
  <c r="AE66" i="1"/>
  <c r="AE68" i="1" s="1"/>
  <c r="Z80" i="1"/>
  <c r="AA77" i="1"/>
  <c r="Z79" i="1"/>
  <c r="AE39" i="1"/>
  <c r="AE40" i="1"/>
  <c r="AE24" i="1"/>
  <c r="AE23" i="1"/>
  <c r="AF23" i="1"/>
  <c r="AA158" i="5"/>
  <c r="AC118" i="5"/>
  <c r="AD116" i="5"/>
  <c r="AD119" i="5" s="1"/>
  <c r="AF115" i="5"/>
  <c r="AG111" i="5"/>
  <c r="AG71" i="5"/>
  <c r="AA100" i="4"/>
  <c r="AB98" i="4"/>
  <c r="AB101" i="4" s="1"/>
  <c r="AB77" i="4"/>
  <c r="AB80" i="4" s="1"/>
  <c r="AA79" i="4"/>
  <c r="Y56" i="4"/>
  <c r="Z54" i="4"/>
  <c r="Z57" i="4" s="1"/>
  <c r="AA100" i="1"/>
  <c r="AB98" i="1"/>
  <c r="AB101" i="1" s="1"/>
  <c r="AB54" i="1"/>
  <c r="AB57" i="1" s="1"/>
  <c r="AA56" i="1"/>
  <c r="AF37" i="1"/>
  <c r="AG32" i="1"/>
  <c r="B27" i="7" s="1"/>
  <c r="AF46" i="1"/>
  <c r="AE87" i="4"/>
  <c r="AD89" i="4"/>
  <c r="AE66" i="4"/>
  <c r="AD68" i="4"/>
  <c r="AF52" i="5"/>
  <c r="AF95" i="5"/>
  <c r="AD45" i="4"/>
  <c r="AF67" i="5"/>
  <c r="AA160" i="5" l="1"/>
  <c r="AA161" i="5"/>
  <c r="AF88" i="1"/>
  <c r="AF89" i="1"/>
  <c r="AF68" i="1"/>
  <c r="AF67" i="1"/>
  <c r="AB77" i="1"/>
  <c r="AA80" i="1"/>
  <c r="AA79" i="1"/>
  <c r="AF39" i="1"/>
  <c r="AF40" i="1"/>
  <c r="AB158" i="5"/>
  <c r="AD118" i="5"/>
  <c r="AE116" i="5"/>
  <c r="AE119" i="5" s="1"/>
  <c r="AG117" i="5"/>
  <c r="B117" i="5"/>
  <c r="B122" i="5" s="1"/>
  <c r="AF70" i="5"/>
  <c r="AB79" i="4"/>
  <c r="AC77" i="4"/>
  <c r="AC80" i="4" s="1"/>
  <c r="AB100" i="4"/>
  <c r="AC98" i="4"/>
  <c r="AC101" i="4" s="1"/>
  <c r="Z56" i="4"/>
  <c r="AA54" i="4"/>
  <c r="AA57" i="4" s="1"/>
  <c r="AB100" i="1"/>
  <c r="AC98" i="1"/>
  <c r="AC101" i="1" s="1"/>
  <c r="AB56" i="1"/>
  <c r="AC54" i="1"/>
  <c r="AC57" i="1" s="1"/>
  <c r="B38" i="1"/>
  <c r="B61" i="1" s="1"/>
  <c r="AG38" i="1"/>
  <c r="AG46" i="1"/>
  <c r="B32" i="7" s="1"/>
  <c r="AF53" i="1"/>
  <c r="AF66" i="4"/>
  <c r="AF68" i="4" s="1"/>
  <c r="AE68" i="4"/>
  <c r="AF87" i="4"/>
  <c r="AF89" i="4" s="1"/>
  <c r="AE89" i="4"/>
  <c r="AF45" i="4"/>
  <c r="AE45" i="4"/>
  <c r="AF69" i="1" l="1"/>
  <c r="AG67" i="1"/>
  <c r="AB160" i="5"/>
  <c r="AB161" i="5"/>
  <c r="AF72" i="5"/>
  <c r="AF73" i="5"/>
  <c r="AG88" i="1"/>
  <c r="AF90" i="1"/>
  <c r="AG55" i="1"/>
  <c r="B55" i="1"/>
  <c r="B62" i="1" s="1"/>
  <c r="AF76" i="1"/>
  <c r="AG69" i="1"/>
  <c r="B78" i="1" s="1"/>
  <c r="B83" i="1" s="1"/>
  <c r="AB80" i="1"/>
  <c r="AC77" i="1"/>
  <c r="AB79" i="1"/>
  <c r="AC158" i="5"/>
  <c r="AE118" i="5"/>
  <c r="AF116" i="5"/>
  <c r="AD77" i="4"/>
  <c r="AD80" i="4" s="1"/>
  <c r="AC79" i="4"/>
  <c r="AC100" i="4"/>
  <c r="AD98" i="4"/>
  <c r="AD101" i="4" s="1"/>
  <c r="AA56" i="4"/>
  <c r="AB54" i="4"/>
  <c r="AB57" i="4" s="1"/>
  <c r="AC100" i="1"/>
  <c r="AD98" i="1"/>
  <c r="AD101" i="1" s="1"/>
  <c r="AD54" i="1"/>
  <c r="AD57" i="1" s="1"/>
  <c r="AC56" i="1"/>
  <c r="AC160" i="5" l="1"/>
  <c r="AC161" i="5"/>
  <c r="AF118" i="5"/>
  <c r="AF119" i="5"/>
  <c r="AG78" i="1"/>
  <c r="AG90" i="1"/>
  <c r="B99" i="1" s="1"/>
  <c r="AF97" i="1"/>
  <c r="AD77" i="1"/>
  <c r="AC80" i="1"/>
  <c r="AC79" i="1"/>
  <c r="AD158" i="5"/>
  <c r="AD100" i="4"/>
  <c r="AE98" i="4"/>
  <c r="AE101" i="4" s="1"/>
  <c r="AD79" i="4"/>
  <c r="AE77" i="4"/>
  <c r="AE80" i="4" s="1"/>
  <c r="AB56" i="4"/>
  <c r="AC54" i="4"/>
  <c r="AC57" i="4" s="1"/>
  <c r="AD100" i="1"/>
  <c r="AE98" i="1"/>
  <c r="AE101" i="1" s="1"/>
  <c r="AE54" i="1"/>
  <c r="AE57" i="1" s="1"/>
  <c r="AD56" i="1"/>
  <c r="AD160" i="5" l="1"/>
  <c r="AD161" i="5"/>
  <c r="AG99" i="1"/>
  <c r="B104" i="1"/>
  <c r="AD80" i="1"/>
  <c r="AE77" i="1"/>
  <c r="AD79" i="1"/>
  <c r="AE158" i="5"/>
  <c r="AE79" i="4"/>
  <c r="AF77" i="4"/>
  <c r="AE100" i="4"/>
  <c r="AF98" i="4"/>
  <c r="AC56" i="4"/>
  <c r="AD54" i="4"/>
  <c r="AD57" i="4" s="1"/>
  <c r="AE100" i="1"/>
  <c r="AF98" i="1"/>
  <c r="AE56" i="1"/>
  <c r="AF54" i="1"/>
  <c r="AF57" i="1" s="1"/>
  <c r="AE160" i="5" l="1"/>
  <c r="AE161" i="5"/>
  <c r="AF100" i="4"/>
  <c r="AF101" i="4"/>
  <c r="AF79" i="4"/>
  <c r="AF80" i="4"/>
  <c r="AF100" i="1"/>
  <c r="AF101" i="1"/>
  <c r="AE80" i="1"/>
  <c r="AF77" i="1"/>
  <c r="AE79" i="1"/>
  <c r="AF56" i="1"/>
  <c r="AF158" i="5"/>
  <c r="AD56" i="4"/>
  <c r="AE54" i="4"/>
  <c r="AE57" i="4" s="1"/>
  <c r="AF160" i="5" l="1"/>
  <c r="AF161" i="5"/>
  <c r="AF80" i="1"/>
  <c r="AF79" i="1"/>
  <c r="AE56" i="4"/>
  <c r="AF54" i="4"/>
  <c r="AF56" i="4" l="1"/>
  <c r="AF57" i="4"/>
</calcChain>
</file>

<file path=xl/sharedStrings.xml><?xml version="1.0" encoding="utf-8"?>
<sst xmlns="http://schemas.openxmlformats.org/spreadsheetml/2006/main" count="429" uniqueCount="196">
  <si>
    <t>Total</t>
  </si>
  <si>
    <t>Year</t>
  </si>
  <si>
    <t>Pelton Wheel Cost</t>
  </si>
  <si>
    <t>Altenator cost ($)</t>
  </si>
  <si>
    <t>Piping/ Fittings Cost ($)</t>
  </si>
  <si>
    <t>Wiring Cost ($)</t>
  </si>
  <si>
    <t>Wiring cost  ($)</t>
  </si>
  <si>
    <t xml:space="preserve">Battery cost lead acid ($) </t>
  </si>
  <si>
    <t>Battery bank capacity (12V amp-hrs)</t>
  </si>
  <si>
    <t>Number batteries needed</t>
  </si>
  <si>
    <t>Battery maintenance Labor ($)</t>
  </si>
  <si>
    <t>Battery maintenance supplies ($)</t>
  </si>
  <si>
    <t>Wind maintenance labor ($)</t>
  </si>
  <si>
    <t>Wind charge controller with water heater diversion dump load</t>
  </si>
  <si>
    <t>Battery bank wiring length (ft)</t>
  </si>
  <si>
    <t>Individual solar panel costs ($)</t>
  </si>
  <si>
    <t>Daily power needs (12V amp-hrs)</t>
  </si>
  <si>
    <t>Solar panel requirements (# of 12V (100 watt / 6.1 amp) panels)</t>
  </si>
  <si>
    <t>Total solar panel cost ($)</t>
  </si>
  <si>
    <t>Solar wiring length (ft)</t>
  </si>
  <si>
    <t>Solar wiring cost ($)</t>
  </si>
  <si>
    <t>Solar maintenance labor ($)</t>
  </si>
  <si>
    <t>1KW residential wind turbine ($)</t>
  </si>
  <si>
    <t>Wind wiring length (Ft)</t>
  </si>
  <si>
    <t>Wind wiring costs ($)</t>
  </si>
  <si>
    <t>Days of autonomy</t>
  </si>
  <si>
    <t>Lithium-Ion Battery Storage System</t>
  </si>
  <si>
    <t xml:space="preserve">Battery cost lithium-ion ($) </t>
  </si>
  <si>
    <t>Pumped Hydro Storage System</t>
  </si>
  <si>
    <t>Piping length to maintain minimum of 100' of head (ft)</t>
  </si>
  <si>
    <t>Individual solar panel Cost ($)</t>
  </si>
  <si>
    <t>Hours of operation per day</t>
  </si>
  <si>
    <t>Total water storage tank capacity upper and lower (gallons)</t>
  </si>
  <si>
    <t>Water storage tank cost ($)</t>
  </si>
  <si>
    <t>Solar water pump capacity 100 ft of head (gallons/hr)</t>
  </si>
  <si>
    <t>Average gallons pumped per day (gallons)</t>
  </si>
  <si>
    <t>Piping cost ($)</t>
  </si>
  <si>
    <t>Total Piping needs (ft)</t>
  </si>
  <si>
    <t>Solar panel requirements for water pump (# of 12V (100 watt / 6.1 amp) panels)</t>
  </si>
  <si>
    <t>Gallons of water needed per day / pelton wheel requirements</t>
  </si>
  <si>
    <t>Altenator continuous output (12v amps)</t>
  </si>
  <si>
    <t>Alternator Wiring length (ft)</t>
  </si>
  <si>
    <t>Solar water pump wiring cost ($)</t>
  </si>
  <si>
    <t>Solar water pump Cost ($)</t>
  </si>
  <si>
    <t>Solar water pump wiring length (ft)</t>
  </si>
  <si>
    <t>PHS system maintenance labor ($)</t>
  </si>
  <si>
    <t>Average daily wind speed (mph)</t>
  </si>
  <si>
    <t>Peak sun-hours (hrs)</t>
  </si>
  <si>
    <t>Amps produced per hour</t>
  </si>
  <si>
    <t>Battery bank daily available usage (12V amp-hrs)</t>
  </si>
  <si>
    <t>Total hours of operation capacity</t>
  </si>
  <si>
    <t>Water storage pond liner cost ($)</t>
  </si>
  <si>
    <t>Water storage pond construction cost ($)</t>
  </si>
  <si>
    <t>Solar water pumps needed</t>
  </si>
  <si>
    <t>Total solar water pumps cost ($)</t>
  </si>
  <si>
    <t>Solar water pumps wiring length (ft)</t>
  </si>
  <si>
    <t>Amp/hrs available per autonomous time period (12V amp-hrs)</t>
  </si>
  <si>
    <t>Water storage pond construction cost per gallon ($/gallon)</t>
  </si>
  <si>
    <t xml:space="preserve"> </t>
  </si>
  <si>
    <t>Baseline Solar Energy Production</t>
  </si>
  <si>
    <t>Baseline Wind Energy Production</t>
  </si>
  <si>
    <t>Baseline Lead-Acid Battery Storage System</t>
  </si>
  <si>
    <t>Baseline Cost of Energy Production</t>
  </si>
  <si>
    <t>Baseline Lead-Acid Battery 3 Days of Autonomy</t>
  </si>
  <si>
    <t>Baseline Lead-Acid Battery 5 Days of Autonomy</t>
  </si>
  <si>
    <t>Baseline Cost of Energy Production 3 Days of Autonomy</t>
  </si>
  <si>
    <t>Baseline Lead-Acid Battery Cost of Energy Production 5 Days of Autonomy</t>
  </si>
  <si>
    <t>Lithium-Ion Battery Cost of Energy Production</t>
  </si>
  <si>
    <t>Lithium-Ion Battery 3 Days of Autonomy</t>
  </si>
  <si>
    <t>Lithium-Ion Battery Cost of Energy Production 3 Days of Autonomy</t>
  </si>
  <si>
    <t>Lithium-Ion Battery 5 Days of Autonomy</t>
  </si>
  <si>
    <t>Lithium-Ion Battery Cost of Energy Production 5 Days of Autonomy</t>
  </si>
  <si>
    <t>Pumped Hydro Storage System Cost of Energy Production</t>
  </si>
  <si>
    <t>Pumped Hydro Storage System 3 Days of Autonomy</t>
  </si>
  <si>
    <t>Pumped Hydro Storage System 5 Days of Autonomy</t>
  </si>
  <si>
    <t>Pumped Hydro Storage System Cost of Energy Production 5 days of Autonomy</t>
  </si>
  <si>
    <t>Solar charge controller ($)</t>
  </si>
  <si>
    <t>Battery Bank wiring cost  ($)</t>
  </si>
  <si>
    <t>Baseline Site Requirements</t>
  </si>
  <si>
    <t>Total piping needs (ft)</t>
  </si>
  <si>
    <t>Piping fittings cost ($)</t>
  </si>
  <si>
    <t>Alternator continuous output (12v amps)</t>
  </si>
  <si>
    <t>Alternator and coupling cost ($)</t>
  </si>
  <si>
    <t>Pelton wheel Cost</t>
  </si>
  <si>
    <t>Alternator wiring length (ft)</t>
  </si>
  <si>
    <t>Alternator wiring cost ($)</t>
  </si>
  <si>
    <t>Solar water pump cost ($)</t>
  </si>
  <si>
    <t>Total Solar System expenditures over 30 years</t>
  </si>
  <si>
    <t>Total baseline wind energy expenditures per year</t>
  </si>
  <si>
    <t>Total baseline solar energy expenditures per year</t>
  </si>
  <si>
    <t>Average yearly  baseline wind energy cost over time</t>
  </si>
  <si>
    <t>Total baseline lead-acid battery storage expenditures per year</t>
  </si>
  <si>
    <t>Total baseline  lead-acid battery storage expenditgures to date</t>
  </si>
  <si>
    <t>Total  lead-acid battery storage system expenditures over 30 years</t>
  </si>
  <si>
    <t>Total PHS storage expenditures per year for 3 days of autonomy</t>
  </si>
  <si>
    <t>Total  PHS expenditgures to date for 3 days of autonomy</t>
  </si>
  <si>
    <t>Total  PHS expenditures over 30 years for 3 days of autonomy</t>
  </si>
  <si>
    <t>Total PHS storage expenditures per year for 5 days of autonomy</t>
  </si>
  <si>
    <t>Total  PHS expenditgures to date for 5 days of autonomy</t>
  </si>
  <si>
    <t>Total  PHS expenditures over 30 years for 5 days of autonomy</t>
  </si>
  <si>
    <t>Pumped Hydro Storage System Cost of Energy Production 3 days of Autonomy</t>
  </si>
  <si>
    <t>Total baseline PHS expenditures per year</t>
  </si>
  <si>
    <t>Total baseline  PHS expenditgures to date</t>
  </si>
  <si>
    <t>Total  baseline PHS expenditures over 30 years</t>
  </si>
  <si>
    <t>Amps produced per hour (amps)</t>
  </si>
  <si>
    <t>Total amp produce to date (amp)</t>
  </si>
  <si>
    <t>Amps produced per day</t>
  </si>
  <si>
    <t>Total amps produce to date</t>
  </si>
  <si>
    <t>Cost per amp produced to date ($/amp)</t>
  </si>
  <si>
    <t>Amps available per autonomous time period (amps)</t>
  </si>
  <si>
    <t>Average yearly baseline  lead-acid battery storage sytem cost over time</t>
  </si>
  <si>
    <t>Average yearly baseline lead-acid battery storage sytem cost averaged over time</t>
  </si>
  <si>
    <t>Average yearly baseline lead-acid battery storage sytem cost over time</t>
  </si>
  <si>
    <t>Average yearly baseline  PHS cost over time</t>
  </si>
  <si>
    <t>Average yearly PHS cost over time for 3 days of autonomy</t>
  </si>
  <si>
    <t>Average yearly PHS cost over time for 5 days of autonomy</t>
  </si>
  <si>
    <t>Potential total amp produced to date (amps)</t>
  </si>
  <si>
    <t>Total baseline solar energy expenditures to date</t>
  </si>
  <si>
    <t>Average yearly baseline solar energy costs over time</t>
  </si>
  <si>
    <t>Total amps produced to date (amp)</t>
  </si>
  <si>
    <t>Amps produced per day (amp)</t>
  </si>
  <si>
    <t>Total baseline wind energy expenditures to date</t>
  </si>
  <si>
    <t>Total wind system expenditures over 30 years</t>
  </si>
  <si>
    <t xml:space="preserve">Battery bank cost lead acid ($) </t>
  </si>
  <si>
    <t>Total baseline lithium-ion battery storage expenditures per year</t>
  </si>
  <si>
    <t>Total baseline  lithium battery storage expenditgures to date</t>
  </si>
  <si>
    <t>Total  lithium-ion battery storage system expenditures over 30 years</t>
  </si>
  <si>
    <t>Average yearly baseline  lithium-ion battery storage sytem cost over time</t>
  </si>
  <si>
    <t>Amps available per autonomous time period (12V amp-hrs)</t>
  </si>
  <si>
    <t>Potential total amps produced to date (amps)</t>
  </si>
  <si>
    <t>Potential total amps produced to date (amp)</t>
  </si>
  <si>
    <t>Solar system setup labor cost ($)</t>
  </si>
  <si>
    <t>Wind system setup labor cost ($)</t>
  </si>
  <si>
    <t>Battery system setup labor cost ($)</t>
  </si>
  <si>
    <t>PHS system setup cost ($)</t>
  </si>
  <si>
    <t>Solar energy production cost over 30 years ($/12V-amps available per day)</t>
  </si>
  <si>
    <t>Wind energy production cost over 30 years   ($/12V-amps available per day)</t>
  </si>
  <si>
    <t>PHS energy storage production cost over 30 years ($/12V-amps available per day)</t>
  </si>
  <si>
    <t>PHS storage production cost over 30 yrs ($/12V-amps available per day)</t>
  </si>
  <si>
    <t>Lithium-Ion battery energy storage production cost over 30 yrs ($/12V-amps available per day)</t>
  </si>
  <si>
    <t>Wind energy production cost over 30 years  ($/12V-amps available per day)</t>
  </si>
  <si>
    <t>Lithium-ion battery energy storage production cost over 30 years ($/12V-amps available per day)</t>
  </si>
  <si>
    <t>Lead acid battery energy storage production cost over 30 years ($/12V-amps available per day)</t>
  </si>
  <si>
    <t>Lead acid battery energy storage production cost ($/12V-amps available per day)</t>
  </si>
  <si>
    <t>Cost per amp produced to date WIND ($/amp)</t>
  </si>
  <si>
    <t>Cost per amp produced to date SOLAR ($/amp)</t>
  </si>
  <si>
    <t>Cost per amp produced to date LEAD-ACID BATTERY ($/amp)</t>
  </si>
  <si>
    <t>Cost per amp produced to date LEAD-ACID BATTERY 3-DAY AUTONOMY ($/amp)</t>
  </si>
  <si>
    <t>Cost per amp produced to date LEAD-ACID BATTERY 5-DAY AUTONOMY ($/amp)</t>
  </si>
  <si>
    <t>Cost per amp produced to date Lithium-Ion ($/amp)</t>
  </si>
  <si>
    <t>Cost per amp produced to date Lithium-Ion battery 3-day Autonomy($/amp)</t>
  </si>
  <si>
    <t>Cost per amp produced to date  Lithium-Ion battery 5-day Autonomy($/amp)</t>
  </si>
  <si>
    <t>Cost per amp produced to date PHS ($/amp)</t>
  </si>
  <si>
    <t>Cost per amp produced to date PHS 3-day Autonomy($/amp)</t>
  </si>
  <si>
    <t>Cost per amp produced to date PHS 5-day Autonomy ($/amp)</t>
  </si>
  <si>
    <t>Solar Costs</t>
  </si>
  <si>
    <t>Setup Equipment Cost</t>
  </si>
  <si>
    <t>Ongoing Equipment Cost</t>
  </si>
  <si>
    <t>Setup Labor Cost</t>
  </si>
  <si>
    <t>Ongoing Maintenace Labor</t>
  </si>
  <si>
    <t>Ongoing Maintenance Supplies</t>
  </si>
  <si>
    <t>Wind Costs</t>
  </si>
  <si>
    <t>Lead Acid Battery Costs</t>
  </si>
  <si>
    <t>Lithium Ion Battery Costs</t>
  </si>
  <si>
    <t>PHS System Costs</t>
  </si>
  <si>
    <t>PHS system labor setup cost ($)</t>
  </si>
  <si>
    <t>SENSITIVITY ANALYSIS</t>
  </si>
  <si>
    <t>PHS Days of Autonomy vs Cost per amp</t>
  </si>
  <si>
    <t>Lead-Acid Days of Autonomy vs Cost per amp</t>
  </si>
  <si>
    <t>Lithium -Ion Days of Autonomy vs Cost per amp</t>
  </si>
  <si>
    <t>Line Graphs Data</t>
  </si>
  <si>
    <t>Pie Charts Data</t>
  </si>
  <si>
    <t xml:space="preserve">Total  lead-acid battery storage system expenditures over 30 years </t>
  </si>
  <si>
    <t>Total  lead-acid battery storage system expenditures over 30 years 3 Days of Autonomy</t>
  </si>
  <si>
    <t>Total  lead-acid battery storage system expenditures over 30 years 5  Days of Autonomy</t>
  </si>
  <si>
    <t xml:space="preserve">Total  lithium-ion battery storage system expenditures over 30 years </t>
  </si>
  <si>
    <t>Total  lithium-ion battery storage system expenditures over 30 years  3 Days of Autonomy</t>
  </si>
  <si>
    <t>System Comparison of Costs over 30 years</t>
  </si>
  <si>
    <t>Total  lead-acid battery storage system expenditures over 30 years  8 Days of Autonomy</t>
  </si>
  <si>
    <t>Total  lead-acid battery storage system expenditures over 30 years  11 Days of Autonomy</t>
  </si>
  <si>
    <t>Total  lead-acid battery storage system expenditures over 30 years  14 Days of Autonomy</t>
  </si>
  <si>
    <t>Total  lithium-ion battery storage system expenditures over 30 years  8 Days of Autonomy</t>
  </si>
  <si>
    <t>Total  lithium-ion battery storage system expenditures over 30 years 11 Days of Autonomy</t>
  </si>
  <si>
    <t>Total  lithium-ion battery storage system expenditures over 30 years  14 Days of Autonomy</t>
  </si>
  <si>
    <t>Total  PHS expenditures over 30 years for 8 days of autonomy</t>
  </si>
  <si>
    <t>Total  PHS expenditures over 30 years for 11 days of autonomy</t>
  </si>
  <si>
    <t>Total  PHS expenditures over 30 years for 14 days of autonomy</t>
  </si>
  <si>
    <t>Lead acid battery energy storage production cost over 30 years 1-day of autonomy</t>
  </si>
  <si>
    <t>Lithium-ion battery energy storage production cost over 30 years 1-day of autonomy</t>
  </si>
  <si>
    <t>PHS energy storage production cost over 30 years 1-day of autonomy</t>
  </si>
  <si>
    <t>Lead acid battery energy storage production cost 3-days of autonomy</t>
  </si>
  <si>
    <t>Lithium-Ion battery energy storage production cost over 30 yrs3-days of autonomy</t>
  </si>
  <si>
    <t>Lithium-Ion battery energy storage production cost over 30 yrs 5-days of autonomy</t>
  </si>
  <si>
    <t>PHS storage production cost over 30 yrs 5-days of autonomy</t>
  </si>
  <si>
    <t>PHS storage production cost over 30 3-days of autonomy</t>
  </si>
  <si>
    <t>Lead acid battery energy storage production cost over 30 yrs 5-days of autonomy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</si>
</sst>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&quot;$&quot;#,##0.00"/>
    <numFmt numFmtId="166" formatCode="&quot;$&quot;#,##0.0000"/>
    <numFmt numFmtId="167" formatCode="&quot;$&quot;#,##0.00000"/>
  </numFmts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2">
    <xf numFmtId="0" fontId="0" fillId="0" borderId="0" xfId="0"/>
    <xf numFmtId="0" fontId="1" fillId="2" borderId="2" xfId="1" applyFill="1" applyBorder="1"/>
    <xf numFmtId="0" fontId="1" fillId="2" borderId="2" xfId="1" applyFill="1" applyBorder="1" applyAlignment="1">
      <alignment horizontal="right"/>
    </xf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0" fontId="0" fillId="0" borderId="0" xfId="0" applyFont="1"/>
    <xf numFmtId="0" fontId="1" fillId="2" borderId="2" xfId="1" applyFont="1" applyFill="1" applyBorder="1"/>
    <xf numFmtId="0" fontId="2" fillId="3" borderId="2" xfId="0" applyFont="1" applyFill="1" applyBorder="1" applyAlignment="1">
      <alignment horizontal="right"/>
    </xf>
    <xf numFmtId="0" fontId="0" fillId="3" borderId="2" xfId="0" applyFill="1" applyBorder="1"/>
    <xf numFmtId="0" fontId="0" fillId="3" borderId="2" xfId="0" applyFont="1" applyFill="1" applyBorder="1"/>
    <xf numFmtId="0" fontId="0" fillId="3" borderId="2" xfId="0" applyNumberFormat="1" applyFill="1" applyBorder="1" applyAlignment="1"/>
    <xf numFmtId="164" fontId="0" fillId="3" borderId="2" xfId="0" applyNumberFormat="1" applyFill="1" applyBorder="1"/>
    <xf numFmtId="1" fontId="0" fillId="3" borderId="2" xfId="0" applyNumberFormat="1" applyFill="1" applyBorder="1"/>
    <xf numFmtId="165" fontId="0" fillId="3" borderId="2" xfId="0" applyNumberFormat="1" applyFill="1" applyBorder="1"/>
    <xf numFmtId="0" fontId="0" fillId="3" borderId="2" xfId="0" applyNumberFormat="1" applyFill="1" applyBorder="1"/>
    <xf numFmtId="0" fontId="0" fillId="4" borderId="0" xfId="0" applyFill="1"/>
    <xf numFmtId="0" fontId="2" fillId="4" borderId="2" xfId="0" applyFont="1" applyFill="1" applyBorder="1" applyAlignment="1">
      <alignment horizontal="right"/>
    </xf>
    <xf numFmtId="0" fontId="0" fillId="4" borderId="2" xfId="0" applyFill="1" applyBorder="1"/>
    <xf numFmtId="0" fontId="0" fillId="4" borderId="2" xfId="0" applyFont="1" applyFill="1" applyBorder="1"/>
    <xf numFmtId="0" fontId="0" fillId="4" borderId="2" xfId="0" applyNumberFormat="1" applyFill="1" applyBorder="1"/>
    <xf numFmtId="164" fontId="0" fillId="4" borderId="2" xfId="0" applyNumberFormat="1" applyFill="1" applyBorder="1"/>
    <xf numFmtId="165" fontId="0" fillId="4" borderId="2" xfId="0" applyNumberFormat="1" applyFill="1" applyBorder="1"/>
    <xf numFmtId="0" fontId="2" fillId="5" borderId="2" xfId="0" applyFont="1" applyFill="1" applyBorder="1" applyAlignment="1">
      <alignment horizontal="right"/>
    </xf>
    <xf numFmtId="0" fontId="0" fillId="5" borderId="2" xfId="0" applyFill="1" applyBorder="1"/>
    <xf numFmtId="165" fontId="0" fillId="5" borderId="2" xfId="0" applyNumberFormat="1" applyFill="1" applyBorder="1"/>
    <xf numFmtId="0" fontId="0" fillId="6" borderId="0" xfId="0" applyFill="1"/>
    <xf numFmtId="165" fontId="0" fillId="6" borderId="0" xfId="0" applyNumberFormat="1" applyFill="1"/>
    <xf numFmtId="0" fontId="2" fillId="6" borderId="2" xfId="0" applyFont="1" applyFill="1" applyBorder="1" applyAlignment="1">
      <alignment horizontal="right"/>
    </xf>
    <xf numFmtId="0" fontId="0" fillId="6" borderId="2" xfId="0" applyFill="1" applyBorder="1"/>
    <xf numFmtId="0" fontId="0" fillId="6" borderId="2" xfId="0" applyFont="1" applyFill="1" applyBorder="1"/>
    <xf numFmtId="0" fontId="0" fillId="6" borderId="2" xfId="0" applyNumberFormat="1" applyFill="1" applyBorder="1"/>
    <xf numFmtId="164" fontId="0" fillId="6" borderId="2" xfId="0" applyNumberFormat="1" applyFill="1" applyBorder="1"/>
    <xf numFmtId="165" fontId="0" fillId="6" borderId="2" xfId="0" applyNumberFormat="1" applyFill="1" applyBorder="1"/>
    <xf numFmtId="0" fontId="0" fillId="7" borderId="0" xfId="0" applyFill="1"/>
    <xf numFmtId="0" fontId="2" fillId="7" borderId="2" xfId="0" applyFont="1" applyFill="1" applyBorder="1" applyAlignment="1">
      <alignment horizontal="right"/>
    </xf>
    <xf numFmtId="0" fontId="0" fillId="7" borderId="2" xfId="0" applyFill="1" applyBorder="1"/>
    <xf numFmtId="0" fontId="0" fillId="7" borderId="2" xfId="0" applyFont="1" applyFill="1" applyBorder="1"/>
    <xf numFmtId="0" fontId="0" fillId="7" borderId="2" xfId="0" applyNumberFormat="1" applyFill="1" applyBorder="1"/>
    <xf numFmtId="164" fontId="0" fillId="7" borderId="2" xfId="0" applyNumberFormat="1" applyFill="1" applyBorder="1"/>
    <xf numFmtId="165" fontId="0" fillId="7" borderId="2" xfId="0" applyNumberFormat="1" applyFill="1" applyBorder="1"/>
    <xf numFmtId="0" fontId="0" fillId="2" borderId="0" xfId="0" applyFill="1"/>
    <xf numFmtId="0" fontId="2" fillId="2" borderId="2" xfId="0" applyFont="1" applyFill="1" applyBorder="1" applyAlignment="1">
      <alignment horizontal="right"/>
    </xf>
    <xf numFmtId="0" fontId="0" fillId="2" borderId="2" xfId="0" applyFill="1" applyBorder="1"/>
    <xf numFmtId="0" fontId="0" fillId="2" borderId="2" xfId="0" applyFont="1" applyFill="1" applyBorder="1"/>
    <xf numFmtId="0" fontId="0" fillId="2" borderId="2" xfId="0" applyNumberFormat="1" applyFill="1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0" fontId="0" fillId="0" borderId="0" xfId="0" applyFill="1" applyBorder="1"/>
    <xf numFmtId="0" fontId="0" fillId="0" borderId="0" xfId="0" applyFont="1" applyFill="1" applyBorder="1"/>
    <xf numFmtId="0" fontId="2" fillId="5" borderId="4" xfId="0" applyFont="1" applyFill="1" applyBorder="1" applyAlignment="1">
      <alignment horizontal="right"/>
    </xf>
    <xf numFmtId="0" fontId="0" fillId="5" borderId="4" xfId="0" applyFill="1" applyBorder="1"/>
    <xf numFmtId="164" fontId="0" fillId="0" borderId="0" xfId="0" applyNumberFormat="1" applyFill="1" applyBorder="1"/>
    <xf numFmtId="164" fontId="0" fillId="0" borderId="0" xfId="0" applyNumberFormat="1" applyFont="1" applyFill="1" applyBorder="1"/>
    <xf numFmtId="0" fontId="2" fillId="4" borderId="4" xfId="0" applyFont="1" applyFill="1" applyBorder="1" applyAlignment="1">
      <alignment horizontal="right"/>
    </xf>
    <xf numFmtId="0" fontId="0" fillId="4" borderId="4" xfId="0" applyFill="1" applyBorder="1"/>
    <xf numFmtId="0" fontId="0" fillId="4" borderId="4" xfId="0" applyFont="1" applyFill="1" applyBorder="1"/>
    <xf numFmtId="0" fontId="0" fillId="4" borderId="2" xfId="0" applyFont="1" applyFill="1" applyBorder="1" applyAlignment="1"/>
    <xf numFmtId="1" fontId="0" fillId="4" borderId="2" xfId="0" applyNumberFormat="1" applyFill="1" applyBorder="1"/>
    <xf numFmtId="0" fontId="0" fillId="4" borderId="3" xfId="0" applyFill="1" applyBorder="1"/>
    <xf numFmtId="164" fontId="0" fillId="4" borderId="3" xfId="0" applyNumberFormat="1" applyFill="1" applyBorder="1"/>
    <xf numFmtId="0" fontId="0" fillId="6" borderId="2" xfId="0" applyFont="1" applyFill="1" applyBorder="1" applyAlignment="1"/>
    <xf numFmtId="1" fontId="0" fillId="6" borderId="2" xfId="0" applyNumberFormat="1" applyFill="1" applyBorder="1"/>
    <xf numFmtId="166" fontId="0" fillId="6" borderId="2" xfId="0" applyNumberFormat="1" applyFill="1" applyBorder="1"/>
    <xf numFmtId="0" fontId="0" fillId="7" borderId="2" xfId="0" applyFont="1" applyFill="1" applyBorder="1" applyAlignment="1"/>
    <xf numFmtId="1" fontId="0" fillId="7" borderId="2" xfId="0" applyNumberFormat="1" applyFill="1" applyBorder="1"/>
    <xf numFmtId="167" fontId="0" fillId="4" borderId="2" xfId="0" applyNumberFormat="1" applyFill="1" applyBorder="1"/>
    <xf numFmtId="167" fontId="0" fillId="4" borderId="0" xfId="0" applyNumberFormat="1" applyFill="1"/>
    <xf numFmtId="167" fontId="0" fillId="3" borderId="2" xfId="0" applyNumberFormat="1" applyFill="1" applyBorder="1"/>
    <xf numFmtId="167" fontId="0" fillId="0" borderId="0" xfId="0" applyNumberFormat="1"/>
    <xf numFmtId="1" fontId="0" fillId="2" borderId="2" xfId="0" applyNumberFormat="1" applyFill="1" applyBorder="1"/>
    <xf numFmtId="167" fontId="0" fillId="6" borderId="2" xfId="0" applyNumberFormat="1" applyFill="1" applyBorder="1"/>
    <xf numFmtId="167" fontId="0" fillId="6" borderId="0" xfId="0" applyNumberFormat="1" applyFill="1"/>
    <xf numFmtId="167" fontId="0" fillId="7" borderId="2" xfId="0" applyNumberFormat="1" applyFill="1" applyBorder="1"/>
    <xf numFmtId="167" fontId="0" fillId="7" borderId="0" xfId="0" applyNumberFormat="1" applyFill="1"/>
    <xf numFmtId="167" fontId="0" fillId="2" borderId="2" xfId="0" applyNumberFormat="1" applyFill="1" applyBorder="1"/>
    <xf numFmtId="167" fontId="0" fillId="2" borderId="0" xfId="0" applyNumberFormat="1" applyFill="1"/>
    <xf numFmtId="167" fontId="0" fillId="3" borderId="3" xfId="0" applyNumberFormat="1" applyFill="1" applyBorder="1"/>
    <xf numFmtId="167" fontId="0" fillId="0" borderId="5" xfId="0" applyNumberFormat="1" applyFill="1" applyBorder="1"/>
    <xf numFmtId="3" fontId="0" fillId="0" borderId="0" xfId="0" applyNumberFormat="1"/>
    <xf numFmtId="3" fontId="0" fillId="6" borderId="2" xfId="0" applyNumberFormat="1" applyFill="1" applyBorder="1"/>
    <xf numFmtId="164" fontId="0" fillId="0" borderId="2" xfId="0" applyNumberFormat="1" applyFill="1" applyBorder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F6C1B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</a:t>
            </a:r>
            <a:r>
              <a:rPr lang="en-US" baseline="0"/>
              <a:t> per Amps Produced Over Time System Comparison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60197529460441E-2"/>
          <c:y val="9.9994077247299265E-2"/>
          <c:w val="0.89860832377902222"/>
          <c:h val="0.7802931907759022"/>
        </c:manualLayout>
      </c:layout>
      <c:lineChart>
        <c:grouping val="standard"/>
        <c:varyColors val="0"/>
        <c:ser>
          <c:idx val="3"/>
          <c:order val="0"/>
          <c:tx>
            <c:strRef>
              <c:f>'Graph Data &amp; Sensitivy Analysis'!$A$5</c:f>
              <c:strCache>
                <c:ptCount val="1"/>
                <c:pt idx="0">
                  <c:v>Cost per amp produced to date LEAD-ACID BATTERY ($/amp)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'Graph Data &amp; Sensitivy Analysis'!$B$5:$AE$5</c:f>
              <c:numCache>
                <c:formatCode>General</c:formatCode>
                <c:ptCount val="30"/>
                <c:pt idx="0">
                  <c:v>1.2E-2</c:v>
                </c:pt>
                <c:pt idx="1">
                  <c:v>1.6287671232876711E-2</c:v>
                </c:pt>
                <c:pt idx="2">
                  <c:v>1.0287671232876713E-2</c:v>
                </c:pt>
                <c:pt idx="3">
                  <c:v>1.0607305936073059E-2</c:v>
                </c:pt>
                <c:pt idx="4">
                  <c:v>9.027397260273972E-3</c:v>
                </c:pt>
                <c:pt idx="5">
                  <c:v>8.0794520547945205E-3</c:v>
                </c:pt>
                <c:pt idx="6">
                  <c:v>8.6073059360730602E-3</c:v>
                </c:pt>
                <c:pt idx="7">
                  <c:v>7.9902152641878662E-3</c:v>
                </c:pt>
                <c:pt idx="8">
                  <c:v>7.5273972602739724E-3</c:v>
                </c:pt>
                <c:pt idx="9">
                  <c:v>7.9406392694063924E-3</c:v>
                </c:pt>
                <c:pt idx="10">
                  <c:v>7.5753424657534251E-3</c:v>
                </c:pt>
                <c:pt idx="11">
                  <c:v>7.2764632627646325E-3</c:v>
                </c:pt>
                <c:pt idx="12">
                  <c:v>7.6073059360730593E-3</c:v>
                </c:pt>
                <c:pt idx="13">
                  <c:v>7.3519494204425714E-3</c:v>
                </c:pt>
                <c:pt idx="14">
                  <c:v>7.1330724070450095E-3</c:v>
                </c:pt>
                <c:pt idx="15">
                  <c:v>7.4073059360730597E-3</c:v>
                </c:pt>
                <c:pt idx="16">
                  <c:v>7.2123287671232873E-3</c:v>
                </c:pt>
                <c:pt idx="17">
                  <c:v>7.0402900886381951E-3</c:v>
                </c:pt>
                <c:pt idx="18">
                  <c:v>7.2739726027397263E-3</c:v>
                </c:pt>
                <c:pt idx="19">
                  <c:v>7.1167988464311462E-3</c:v>
                </c:pt>
                <c:pt idx="20">
                  <c:v>6.9753424657534244E-3</c:v>
                </c:pt>
                <c:pt idx="21">
                  <c:v>7.178734507501631E-3</c:v>
                </c:pt>
                <c:pt idx="22">
                  <c:v>7.0473225404732252E-3</c:v>
                </c:pt>
                <c:pt idx="23">
                  <c:v>6.9273377010125071E-3</c:v>
                </c:pt>
                <c:pt idx="24">
                  <c:v>7.1073059360730597E-3</c:v>
                </c:pt>
                <c:pt idx="25">
                  <c:v>6.9945205479452054E-3</c:v>
                </c:pt>
                <c:pt idx="26">
                  <c:v>6.8904109589041094E-3</c:v>
                </c:pt>
                <c:pt idx="27">
                  <c:v>7.0517503805175036E-3</c:v>
                </c:pt>
                <c:pt idx="28">
                  <c:v>6.9530332681017612E-3</c:v>
                </c:pt>
                <c:pt idx="29">
                  <c:v>6.8611242324043455E-3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C6-4CF2-B2D9-6C86FAB6AB62}"/>
            </c:ext>
          </c:extLst>
        </c:ser>
        <c:ser>
          <c:idx val="0"/>
          <c:order val="1"/>
          <c:tx>
            <c:strRef>
              <c:f>'Graph Data &amp; Sensitivy Analysis'!$A$8</c:f>
              <c:strCache>
                <c:ptCount val="1"/>
                <c:pt idx="0">
                  <c:v>Cost per amp produced to date Lithium-Ion ($/amp)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val>
            <c:numRef>
              <c:f>'Graph Data &amp; Sensitivy Analysis'!$B$8:$AE$8</c:f>
              <c:numCache>
                <c:formatCode>General</c:formatCode>
                <c:ptCount val="30"/>
                <c:pt idx="0">
                  <c:v>2.9027397260273972E-2</c:v>
                </c:pt>
                <c:pt idx="1">
                  <c:v>2.9027397260273972E-2</c:v>
                </c:pt>
                <c:pt idx="2">
                  <c:v>1.4513698630136986E-2</c:v>
                </c:pt>
                <c:pt idx="3">
                  <c:v>9.6757990867579902E-3</c:v>
                </c:pt>
                <c:pt idx="4">
                  <c:v>7.2568493150684931E-3</c:v>
                </c:pt>
                <c:pt idx="5">
                  <c:v>5.8054794520547943E-3</c:v>
                </c:pt>
                <c:pt idx="6">
                  <c:v>4.8378995433789951E-3</c:v>
                </c:pt>
                <c:pt idx="7">
                  <c:v>4.1467710371819958E-3</c:v>
                </c:pt>
                <c:pt idx="8">
                  <c:v>3.6284246575342466E-3</c:v>
                </c:pt>
                <c:pt idx="9">
                  <c:v>3.2252663622526637E-3</c:v>
                </c:pt>
                <c:pt idx="10">
                  <c:v>2.9027397260273972E-3</c:v>
                </c:pt>
                <c:pt idx="11">
                  <c:v>2.638854296388543E-3</c:v>
                </c:pt>
                <c:pt idx="12">
                  <c:v>2.4189497716894976E-3</c:v>
                </c:pt>
                <c:pt idx="13">
                  <c:v>2.2328767123287671E-3</c:v>
                </c:pt>
                <c:pt idx="14">
                  <c:v>2.0733855185909979E-3</c:v>
                </c:pt>
                <c:pt idx="15">
                  <c:v>1.9351598173515982E-3</c:v>
                </c:pt>
                <c:pt idx="16">
                  <c:v>3.6190068493150685E-3</c:v>
                </c:pt>
                <c:pt idx="17">
                  <c:v>3.4061240934730058E-3</c:v>
                </c:pt>
                <c:pt idx="18">
                  <c:v>3.2168949771689496E-3</c:v>
                </c:pt>
                <c:pt idx="19">
                  <c:v>3.0475847152126893E-3</c:v>
                </c:pt>
                <c:pt idx="20">
                  <c:v>2.895205479452055E-3</c:v>
                </c:pt>
                <c:pt idx="21">
                  <c:v>2.7573385518590999E-3</c:v>
                </c:pt>
                <c:pt idx="22">
                  <c:v>2.6320049813200498E-3</c:v>
                </c:pt>
                <c:pt idx="23">
                  <c:v>2.5175699821322214E-3</c:v>
                </c:pt>
                <c:pt idx="24">
                  <c:v>2.4126712328767122E-3</c:v>
                </c:pt>
                <c:pt idx="25">
                  <c:v>2.3161643835616437E-3</c:v>
                </c:pt>
                <c:pt idx="26">
                  <c:v>2.2270811380400422E-3</c:v>
                </c:pt>
                <c:pt idx="27">
                  <c:v>2.1445966514459665E-3</c:v>
                </c:pt>
                <c:pt idx="28">
                  <c:v>2.0680039138943249E-3</c:v>
                </c:pt>
                <c:pt idx="29">
                  <c:v>1.9966934341048652E-3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C6-4CF2-B2D9-6C86FAB6AB62}"/>
            </c:ext>
          </c:extLst>
        </c:ser>
        <c:ser>
          <c:idx val="4"/>
          <c:order val="2"/>
          <c:tx>
            <c:strRef>
              <c:f>'Graph Data &amp; Sensitivy Analysis'!$A$11</c:f>
              <c:strCache>
                <c:ptCount val="1"/>
                <c:pt idx="0">
                  <c:v>Cost per amp produced to date PHS ($/amp)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lgDash"/>
              <a:round/>
            </a:ln>
            <a:effectLst/>
          </c:spPr>
          <c:marker>
            <c:symbol val="none"/>
          </c:marker>
          <c:val>
            <c:numRef>
              <c:f>'Graph Data &amp; Sensitivy Analysis'!$B$11:$AE$11</c:f>
              <c:numCache>
                <c:formatCode>General</c:formatCode>
                <c:ptCount val="30"/>
                <c:pt idx="0">
                  <c:v>3.2829896659456861E-2</c:v>
                </c:pt>
                <c:pt idx="1">
                  <c:v>3.317596731554915E-2</c:v>
                </c:pt>
                <c:pt idx="2">
                  <c:v>1.6761018985820716E-2</c:v>
                </c:pt>
                <c:pt idx="3">
                  <c:v>1.1289369542577907E-2</c:v>
                </c:pt>
                <c:pt idx="4">
                  <c:v>8.5535448209565004E-3</c:v>
                </c:pt>
                <c:pt idx="5">
                  <c:v>6.9120499879836584E-3</c:v>
                </c:pt>
                <c:pt idx="6">
                  <c:v>5.8177200993350959E-3</c:v>
                </c:pt>
                <c:pt idx="7">
                  <c:v>5.0360558931575516E-3</c:v>
                </c:pt>
                <c:pt idx="8">
                  <c:v>4.4498077385243936E-3</c:v>
                </c:pt>
                <c:pt idx="9">
                  <c:v>3.9938369515874926E-3</c:v>
                </c:pt>
                <c:pt idx="10">
                  <c:v>3.6290603220379717E-3</c:v>
                </c:pt>
                <c:pt idx="11">
                  <c:v>3.3306067160429093E-3</c:v>
                </c:pt>
                <c:pt idx="12">
                  <c:v>3.0818953777136909E-3</c:v>
                </c:pt>
                <c:pt idx="13">
                  <c:v>2.8714473222043518E-3</c:v>
                </c:pt>
                <c:pt idx="14">
                  <c:v>2.6910632746249183E-3</c:v>
                </c:pt>
                <c:pt idx="15">
                  <c:v>2.5347304333894097E-3</c:v>
                </c:pt>
                <c:pt idx="16">
                  <c:v>2.3979391973083393E-3</c:v>
                </c:pt>
                <c:pt idx="17">
                  <c:v>2.2772410478250423E-3</c:v>
                </c:pt>
                <c:pt idx="18">
                  <c:v>2.1699538038398888E-3</c:v>
                </c:pt>
                <c:pt idx="19">
                  <c:v>2.0739599539584363E-3</c:v>
                </c:pt>
                <c:pt idx="20">
                  <c:v>1.9875654890651288E-3</c:v>
                </c:pt>
                <c:pt idx="21">
                  <c:v>1.9093990684473743E-3</c:v>
                </c:pt>
                <c:pt idx="22">
                  <c:v>1.8383386860675974E-3</c:v>
                </c:pt>
                <c:pt idx="23">
                  <c:v>1.7734574673730187E-3</c:v>
                </c:pt>
                <c:pt idx="24">
                  <c:v>1.7139830169029882E-3</c:v>
                </c:pt>
                <c:pt idx="25">
                  <c:v>1.65926652247056E-3</c:v>
                </c:pt>
                <c:pt idx="26">
                  <c:v>1.6087589891483187E-3</c:v>
                </c:pt>
                <c:pt idx="27">
                  <c:v>1.5619927545906878E-3</c:v>
                </c:pt>
                <c:pt idx="28">
                  <c:v>1.5185669653586019E-3</c:v>
                </c:pt>
                <c:pt idx="29">
                  <c:v>1.4781360581425222E-3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C6-4CF2-B2D9-6C86FAB6A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492328"/>
        <c:axId val="423492656"/>
      </c:lineChart>
      <c:catAx>
        <c:axId val="423492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92656"/>
        <c:crosses val="autoZero"/>
        <c:auto val="1"/>
        <c:lblAlgn val="ctr"/>
        <c:lblOffset val="100"/>
        <c:noMultiLvlLbl val="0"/>
      </c:catAx>
      <c:valAx>
        <c:axId val="423492656"/>
        <c:scaling>
          <c:orientation val="minMax"/>
          <c:max val="3.4000000000000009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Cost  per Amp Produced ($/amp)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92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05507553154928E-2"/>
          <c:y val="0.92346140132118271"/>
          <c:w val="0.96434472921475767"/>
          <c:h val="6.5093675643671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 System</a:t>
            </a:r>
            <a:r>
              <a:rPr lang="en-US" baseline="0"/>
              <a:t> Cost Breakdown ($)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CC-425C-AAF3-95793D2FA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CC-425C-AAF3-95793D2FAC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CC-425C-AAF3-95793D2FAC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CC-425C-AAF3-95793D2FAC5C}"/>
              </c:ext>
            </c:extLst>
          </c:dPt>
          <c:dPt>
            <c:idx val="4"/>
            <c:bubble3D val="0"/>
            <c:spPr>
              <a:solidFill>
                <a:srgbClr val="F6C1B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6CC-425C-AAF3-95793D2FA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 Data &amp; Sensitivy Analysis'!$A$17:$A$21</c:f>
              <c:strCache>
                <c:ptCount val="5"/>
                <c:pt idx="0">
                  <c:v>Setup Equipment Cost</c:v>
                </c:pt>
                <c:pt idx="1">
                  <c:v>Ongoing Equipment Cost</c:v>
                </c:pt>
                <c:pt idx="2">
                  <c:v>Setup Labor Cost</c:v>
                </c:pt>
                <c:pt idx="3">
                  <c:v>Ongoing Maintenace Labor</c:v>
                </c:pt>
                <c:pt idx="4">
                  <c:v>Ongoing Maintenance Supplies</c:v>
                </c:pt>
              </c:strCache>
            </c:strRef>
          </c:cat>
          <c:val>
            <c:numRef>
              <c:f>'Graph Data &amp; Sensitivy Analysis'!$B$17:$B$21</c:f>
              <c:numCache>
                <c:formatCode>General</c:formatCode>
                <c:ptCount val="5"/>
                <c:pt idx="0">
                  <c:v>917.6</c:v>
                </c:pt>
                <c:pt idx="1">
                  <c:v>0</c:v>
                </c:pt>
                <c:pt idx="2">
                  <c:v>72</c:v>
                </c:pt>
                <c:pt idx="3">
                  <c:v>669.60000000000036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CC-425C-AAF3-95793D2FAC5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System Comparison of Costs over 30 years &amp; Days of Autonomy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DC-4207-A268-1EF0620DF711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BDC-4207-A268-1EF0620DF71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DC-4207-A268-1EF0620DF711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BDC-4207-A268-1EF0620DF711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BDC-4207-A268-1EF0620DF71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BDC-4207-A268-1EF0620DF711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BDC-4207-A268-1EF0620DF711}"/>
              </c:ext>
            </c:extLst>
          </c:dPt>
          <c:dPt>
            <c:idx val="7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BDC-4207-A268-1EF0620DF71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BDC-4207-A268-1EF0620DF711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BDC-4207-A268-1EF0620DF711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BDC-4207-A268-1EF0620DF71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BDC-4207-A268-1EF0620DF711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BDC-4207-A268-1EF0620DF711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EBDC-4207-A268-1EF0620DF711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BDC-4207-A268-1EF0620DF711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BDC-4207-A268-1EF0620DF711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BDC-4207-A268-1EF0620DF711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BDC-4207-A268-1EF0620DF711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BDC-4207-A268-1EF0620DF711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EBDC-4207-A268-1EF0620DF7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Data &amp; Sensitivy Analysis'!$A$52:$A$71</c:f>
              <c:strCache>
                <c:ptCount val="20"/>
                <c:pt idx="0">
                  <c:v>Total Solar System expenditures over 30 years</c:v>
                </c:pt>
                <c:pt idx="1">
                  <c:v>Total wind system expenditures over 30 years</c:v>
                </c:pt>
                <c:pt idx="2">
                  <c:v>Total  lead-acid battery storage system expenditures over 30 years </c:v>
                </c:pt>
                <c:pt idx="3">
                  <c:v>Total  lithium-ion battery storage system expenditures over 30 years</c:v>
                </c:pt>
                <c:pt idx="4">
                  <c:v>Total  baseline PHS expenditures over 30 years</c:v>
                </c:pt>
                <c:pt idx="5">
                  <c:v>Total  lead-acid battery storage system expenditures over 30 years 3 Days of Autonomy</c:v>
                </c:pt>
                <c:pt idx="6">
                  <c:v>Total  lithium-ion battery storage system expenditures over 30 years  3 Days of Autonomy</c:v>
                </c:pt>
                <c:pt idx="7">
                  <c:v>Total  PHS expenditures over 30 years for 3 days of autonomy</c:v>
                </c:pt>
                <c:pt idx="8">
                  <c:v>Total  lead-acid battery storage system expenditures over 30 years 5  Days of Autonomy</c:v>
                </c:pt>
                <c:pt idx="9">
                  <c:v>Total  lithium-ion battery storage system expenditures over 30 years </c:v>
                </c:pt>
                <c:pt idx="10">
                  <c:v>Total  PHS expenditures over 30 years for 5 days of autonomy</c:v>
                </c:pt>
                <c:pt idx="11">
                  <c:v>Total  lead-acid battery storage system expenditures over 30 years  8 Days of Autonomy</c:v>
                </c:pt>
                <c:pt idx="12">
                  <c:v>Total  lithium-ion battery storage system expenditures over 30 years  8 Days of Autonomy</c:v>
                </c:pt>
                <c:pt idx="13">
                  <c:v>Total  PHS expenditures over 30 years for 8 days of autonomy</c:v>
                </c:pt>
                <c:pt idx="14">
                  <c:v>Total  lead-acid battery storage system expenditures over 30 years  11 Days of Autonomy</c:v>
                </c:pt>
                <c:pt idx="15">
                  <c:v>Total  lithium-ion battery storage system expenditures over 30 years 11 Days of Autonomy</c:v>
                </c:pt>
                <c:pt idx="16">
                  <c:v>Total  PHS expenditures over 30 years for 11 days of autonomy</c:v>
                </c:pt>
                <c:pt idx="17">
                  <c:v>Total  lead-acid battery storage system expenditures over 30 years  14 Days of Autonomy</c:v>
                </c:pt>
                <c:pt idx="18">
                  <c:v>Total  lithium-ion battery storage system expenditures over 30 years  14 Days of Autonomy</c:v>
                </c:pt>
                <c:pt idx="19">
                  <c:v>Total  PHS expenditures over 30 years for 14 days of autonomy</c:v>
                </c:pt>
              </c:strCache>
            </c:strRef>
          </c:cat>
          <c:val>
            <c:numRef>
              <c:f>'Graph Data &amp; Sensitivy Analysis'!$B$52:$B$71</c:f>
              <c:numCache>
                <c:formatCode>#,##0</c:formatCode>
                <c:ptCount val="20"/>
                <c:pt idx="0">
                  <c:v>1659.2000000000003</c:v>
                </c:pt>
                <c:pt idx="1">
                  <c:v>1604.1999999999998</c:v>
                </c:pt>
                <c:pt idx="2">
                  <c:v>15394</c:v>
                </c:pt>
                <c:pt idx="3">
                  <c:v>4251</c:v>
                </c:pt>
                <c:pt idx="4">
                  <c:v>5911.4668965517239</c:v>
                </c:pt>
                <c:pt idx="5">
                  <c:v>31648</c:v>
                </c:pt>
                <c:pt idx="6">
                  <c:v>12729</c:v>
                </c:pt>
                <c:pt idx="7">
                  <c:v>8267.4599999999991</c:v>
                </c:pt>
                <c:pt idx="8">
                  <c:v>48141.25</c:v>
                </c:pt>
                <c:pt idx="9">
                  <c:v>21183</c:v>
                </c:pt>
                <c:pt idx="10">
                  <c:v>10623.453103448277</c:v>
                </c:pt>
                <c:pt idx="11">
                  <c:v>60029.5</c:v>
                </c:pt>
                <c:pt idx="12">
                  <c:v>27540</c:v>
                </c:pt>
                <c:pt idx="13">
                  <c:v>13569.273793103448</c:v>
                </c:pt>
                <c:pt idx="14">
                  <c:v>71917.75</c:v>
                </c:pt>
                <c:pt idx="15">
                  <c:v>33897</c:v>
                </c:pt>
                <c:pt idx="16" formatCode="&quot;$&quot;#,##0">
                  <c:v>17798.673793103451</c:v>
                </c:pt>
                <c:pt idx="17">
                  <c:v>84886.75</c:v>
                </c:pt>
                <c:pt idx="18">
                  <c:v>40254</c:v>
                </c:pt>
                <c:pt idx="19">
                  <c:v>20690.873793103448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C-4207-A268-1EF0620DF7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7909008"/>
        <c:axId val="557908352"/>
      </c:barChart>
      <c:catAx>
        <c:axId val="557909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System and Days of Autonomy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908352"/>
        <c:crosses val="autoZero"/>
        <c:auto val="1"/>
        <c:lblAlgn val="ctr"/>
        <c:lblOffset val="100"/>
        <c:noMultiLvlLbl val="0"/>
      </c:catAx>
      <c:valAx>
        <c:axId val="55790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 </a:t>
                </a:r>
                <a:r>
                  <a:rPr lang="en-US" sz="1200" b="0" i="0" baseline="0">
                    <a:effectLst/>
                  </a:rPr>
                  <a:t>Cost Over 30 years ($)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90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Comparison</a:t>
            </a:r>
            <a:r>
              <a:rPr lang="en-US" baseline="0"/>
              <a:t> of Production Costs ($/12-amps available per day)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8E-468E-AFB7-AFE74614B33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78E-468E-AFB7-AFE74614B33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8E-468E-AFB7-AFE74614B336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78E-468E-AFB7-AFE74614B33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8E-468E-AFB7-AFE74614B336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78E-468E-AFB7-AFE74614B336}"/>
              </c:ext>
            </c:extLst>
          </c:dPt>
          <c:dPt>
            <c:idx val="7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78E-468E-AFB7-AFE74614B33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78E-468E-AFB7-AFE74614B336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78E-468E-AFB7-AFE74614B336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78E-468E-AFB7-AFE74614B3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Data &amp; Sensitivy Analysis'!$A$75:$A$85</c:f>
              <c:strCache>
                <c:ptCount val="11"/>
                <c:pt idx="0">
                  <c:v>Solar energy production cost over 30 years ($/12V-amps available per day)</c:v>
                </c:pt>
                <c:pt idx="1">
                  <c:v>Wind energy production cost over 30 years  ($/12V-amps available per day)</c:v>
                </c:pt>
                <c:pt idx="2">
                  <c:v>Lead acid battery energy storage production cost over 30 years 1-day of autonomy</c:v>
                </c:pt>
                <c:pt idx="3">
                  <c:v>Lithium-ion battery energy storage production cost over 30 years 1-day of autonomy</c:v>
                </c:pt>
                <c:pt idx="4">
                  <c:v>PHS energy storage production cost over 30 years 1-day of autonomy</c:v>
                </c:pt>
                <c:pt idx="5">
                  <c:v>Lead acid battery energy storage production cost 3-days of autonomy</c:v>
                </c:pt>
                <c:pt idx="6">
                  <c:v>Lithium-Ion battery energy storage production cost over 30 yrs3-days of autonomy</c:v>
                </c:pt>
                <c:pt idx="7">
                  <c:v>PHS storage production cost over 30 3-days of autonomy</c:v>
                </c:pt>
                <c:pt idx="8">
                  <c:v>Lead acid battery energy storage production cost over 30 yrs 5-days of autonomy</c:v>
                </c:pt>
                <c:pt idx="9">
                  <c:v>Lithium-Ion battery energy storage production cost over 30 yrs 5-days of autonomy</c:v>
                </c:pt>
                <c:pt idx="10">
                  <c:v>PHS storage production cost over 30 yrs 5-days of autonomy</c:v>
                </c:pt>
              </c:strCache>
            </c:strRef>
          </c:cat>
          <c:val>
            <c:numRef>
              <c:f>'Graph Data &amp; Sensitivy Analysis'!$B$75:$B$85</c:f>
              <c:numCache>
                <c:formatCode>"$"#,##0.00</c:formatCode>
                <c:ptCount val="11"/>
                <c:pt idx="0">
                  <c:v>7.771428571428574</c:v>
                </c:pt>
                <c:pt idx="1">
                  <c:v>2.1561827956989243</c:v>
                </c:pt>
                <c:pt idx="2">
                  <c:v>76.97</c:v>
                </c:pt>
                <c:pt idx="3">
                  <c:v>21.254999999999999</c:v>
                </c:pt>
                <c:pt idx="4">
                  <c:v>15.772385964912282</c:v>
                </c:pt>
                <c:pt idx="5">
                  <c:v>52.74666666666667</c:v>
                </c:pt>
                <c:pt idx="6">
                  <c:v>21.215</c:v>
                </c:pt>
                <c:pt idx="7">
                  <c:v>7.4042456140350881</c:v>
                </c:pt>
                <c:pt idx="8">
                  <c:v>48.141249999999999</c:v>
                </c:pt>
                <c:pt idx="9">
                  <c:v>21.183</c:v>
                </c:pt>
                <c:pt idx="10">
                  <c:v>2.5928413274565725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E-468E-AFB7-AFE74614B3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8320944"/>
        <c:axId val="488318648"/>
      </c:barChart>
      <c:catAx>
        <c:axId val="488320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Storage System</a:t>
                </a:r>
                <a:r>
                  <a:rPr lang="en-US" sz="1200" baseline="0"/>
                  <a:t> &amp; Days of Autonomy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18648"/>
        <c:crosses val="autoZero"/>
        <c:auto val="1"/>
        <c:lblAlgn val="ctr"/>
        <c:lblOffset val="100"/>
        <c:noMultiLvlLbl val="0"/>
      </c:catAx>
      <c:valAx>
        <c:axId val="48831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Cost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32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Cost per Amp Produced Over Time Lead-Acid Battery Days of Autonomy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'Graph Data &amp; Sensitivy Analysis'!$A$5</c:f>
              <c:strCache>
                <c:ptCount val="1"/>
                <c:pt idx="0">
                  <c:v>Cost per amp produced to date LEAD-ACID BATTERY ($/amp)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Dot"/>
              <a:round/>
            </a:ln>
            <a:effectLst/>
          </c:spPr>
          <c:marker>
            <c:symbol val="none"/>
          </c:marker>
          <c:val>
            <c:numRef>
              <c:f>'Graph Data &amp; Sensitivy Analysis'!$B$5:$AE$5</c:f>
              <c:numCache>
                <c:formatCode>General</c:formatCode>
                <c:ptCount val="30"/>
                <c:pt idx="0">
                  <c:v>1.2E-2</c:v>
                </c:pt>
                <c:pt idx="1">
                  <c:v>1.6287671232876711E-2</c:v>
                </c:pt>
                <c:pt idx="2">
                  <c:v>1.0287671232876713E-2</c:v>
                </c:pt>
                <c:pt idx="3">
                  <c:v>1.0607305936073059E-2</c:v>
                </c:pt>
                <c:pt idx="4">
                  <c:v>9.027397260273972E-3</c:v>
                </c:pt>
                <c:pt idx="5">
                  <c:v>8.0794520547945205E-3</c:v>
                </c:pt>
                <c:pt idx="6">
                  <c:v>8.6073059360730602E-3</c:v>
                </c:pt>
                <c:pt idx="7">
                  <c:v>7.9902152641878662E-3</c:v>
                </c:pt>
                <c:pt idx="8">
                  <c:v>7.5273972602739724E-3</c:v>
                </c:pt>
                <c:pt idx="9">
                  <c:v>7.9406392694063924E-3</c:v>
                </c:pt>
                <c:pt idx="10">
                  <c:v>7.5753424657534251E-3</c:v>
                </c:pt>
                <c:pt idx="11">
                  <c:v>7.2764632627646325E-3</c:v>
                </c:pt>
                <c:pt idx="12">
                  <c:v>7.6073059360730593E-3</c:v>
                </c:pt>
                <c:pt idx="13">
                  <c:v>7.3519494204425714E-3</c:v>
                </c:pt>
                <c:pt idx="14">
                  <c:v>7.1330724070450095E-3</c:v>
                </c:pt>
                <c:pt idx="15">
                  <c:v>7.4073059360730597E-3</c:v>
                </c:pt>
                <c:pt idx="16">
                  <c:v>7.2123287671232873E-3</c:v>
                </c:pt>
                <c:pt idx="17">
                  <c:v>7.0402900886381951E-3</c:v>
                </c:pt>
                <c:pt idx="18">
                  <c:v>7.2739726027397263E-3</c:v>
                </c:pt>
                <c:pt idx="19">
                  <c:v>7.1167988464311462E-3</c:v>
                </c:pt>
                <c:pt idx="20">
                  <c:v>6.9753424657534244E-3</c:v>
                </c:pt>
                <c:pt idx="21">
                  <c:v>7.178734507501631E-3</c:v>
                </c:pt>
                <c:pt idx="22">
                  <c:v>7.0473225404732252E-3</c:v>
                </c:pt>
                <c:pt idx="23">
                  <c:v>6.9273377010125071E-3</c:v>
                </c:pt>
                <c:pt idx="24">
                  <c:v>7.1073059360730597E-3</c:v>
                </c:pt>
                <c:pt idx="25">
                  <c:v>6.9945205479452054E-3</c:v>
                </c:pt>
                <c:pt idx="26">
                  <c:v>6.8904109589041094E-3</c:v>
                </c:pt>
                <c:pt idx="27">
                  <c:v>7.0517503805175036E-3</c:v>
                </c:pt>
                <c:pt idx="28">
                  <c:v>6.9530332681017612E-3</c:v>
                </c:pt>
                <c:pt idx="29">
                  <c:v>6.8611242324043455E-3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36-4D1D-8244-97EF5B4C73E6}"/>
            </c:ext>
          </c:extLst>
        </c:ser>
        <c:ser>
          <c:idx val="4"/>
          <c:order val="4"/>
          <c:tx>
            <c:strRef>
              <c:f>'Graph Data &amp; Sensitivy Analysis'!$A$6</c:f>
              <c:strCache>
                <c:ptCount val="1"/>
                <c:pt idx="0">
                  <c:v>Cost per amp produced to date LEAD-ACID BATTERY 3-DAY AUTONOMY ($/amp)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'Graph Data &amp; Sensitivy Analysis'!$B$6:$AE$6</c:f>
              <c:numCache>
                <c:formatCode>General</c:formatCode>
                <c:ptCount val="30"/>
                <c:pt idx="0">
                  <c:v>2.3766666666666665</c:v>
                </c:pt>
                <c:pt idx="1">
                  <c:v>2.4183333333333334</c:v>
                </c:pt>
                <c:pt idx="2">
                  <c:v>1.23</c:v>
                </c:pt>
                <c:pt idx="3">
                  <c:v>1.4805555555555556</c:v>
                </c:pt>
                <c:pt idx="4">
                  <c:v>1.1208333333333333</c:v>
                </c:pt>
                <c:pt idx="5">
                  <c:v>0.90500000000000003</c:v>
                </c:pt>
                <c:pt idx="6">
                  <c:v>1.0844444444444445</c:v>
                </c:pt>
                <c:pt idx="7">
                  <c:v>0.93547619047619046</c:v>
                </c:pt>
                <c:pt idx="8">
                  <c:v>0.82374999999999998</c:v>
                </c:pt>
                <c:pt idx="9">
                  <c:v>0.95240740740740737</c:v>
                </c:pt>
                <c:pt idx="10">
                  <c:v>0.86133333333333328</c:v>
                </c:pt>
                <c:pt idx="11">
                  <c:v>0.78681818181818186</c:v>
                </c:pt>
                <c:pt idx="12">
                  <c:v>0.88638888888888889</c:v>
                </c:pt>
                <c:pt idx="13">
                  <c:v>0.82141025641025645</c:v>
                </c:pt>
                <c:pt idx="14">
                  <c:v>0.76571428571428568</c:v>
                </c:pt>
                <c:pt idx="15">
                  <c:v>0.84677777777777774</c:v>
                </c:pt>
                <c:pt idx="16">
                  <c:v>0.79645833333333338</c:v>
                </c:pt>
                <c:pt idx="17">
                  <c:v>0.75205882352941178</c:v>
                </c:pt>
                <c:pt idx="18">
                  <c:v>0.82037037037037042</c:v>
                </c:pt>
                <c:pt idx="19">
                  <c:v>0.77938596491228074</c:v>
                </c:pt>
                <c:pt idx="20">
                  <c:v>0.74250000000000005</c:v>
                </c:pt>
                <c:pt idx="21">
                  <c:v>0.8015079365079365</c:v>
                </c:pt>
                <c:pt idx="22">
                  <c:v>0.76696969696969697</c:v>
                </c:pt>
                <c:pt idx="23">
                  <c:v>0.73543478260869566</c:v>
                </c:pt>
                <c:pt idx="24">
                  <c:v>0.78736111111111107</c:v>
                </c:pt>
                <c:pt idx="25">
                  <c:v>0.75753333333333328</c:v>
                </c:pt>
                <c:pt idx="26">
                  <c:v>0.73</c:v>
                </c:pt>
                <c:pt idx="27">
                  <c:v>0.77635802469135806</c:v>
                </c:pt>
                <c:pt idx="28">
                  <c:v>0.75011904761904757</c:v>
                </c:pt>
                <c:pt idx="29">
                  <c:v>0.72568965517241379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36-4D1D-8244-97EF5B4C73E6}"/>
            </c:ext>
          </c:extLst>
        </c:ser>
        <c:ser>
          <c:idx val="5"/>
          <c:order val="5"/>
          <c:tx>
            <c:strRef>
              <c:f>'Graph Data &amp; Sensitivy Analysis'!$A$7</c:f>
              <c:strCache>
                <c:ptCount val="1"/>
                <c:pt idx="0">
                  <c:v>Cost per amp produced to date LEAD-ACID BATTERY 5-DAY AUTONOMY ($/amp)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'Graph Data &amp; Sensitivy Analysis'!$B$7:$AE$7</c:f>
              <c:numCache>
                <c:formatCode>General</c:formatCode>
                <c:ptCount val="30"/>
                <c:pt idx="0">
                  <c:v>2.22525</c:v>
                </c:pt>
                <c:pt idx="1">
                  <c:v>2.2502499999999999</c:v>
                </c:pt>
                <c:pt idx="2">
                  <c:v>1.1376250000000001</c:v>
                </c:pt>
                <c:pt idx="3">
                  <c:v>1.3810833333333334</c:v>
                </c:pt>
                <c:pt idx="4">
                  <c:v>1.0420624999999999</c:v>
                </c:pt>
                <c:pt idx="5">
                  <c:v>0.83865000000000001</c:v>
                </c:pt>
                <c:pt idx="6">
                  <c:v>1.0102083333333334</c:v>
                </c:pt>
                <c:pt idx="7">
                  <c:v>0.86946428571428569</c:v>
                </c:pt>
                <c:pt idx="8">
                  <c:v>0.76390625000000001</c:v>
                </c:pt>
                <c:pt idx="9">
                  <c:v>0.88658333333333328</c:v>
                </c:pt>
                <c:pt idx="10">
                  <c:v>0.80042500000000005</c:v>
                </c:pt>
                <c:pt idx="11">
                  <c:v>0.72993181818181818</c:v>
                </c:pt>
                <c:pt idx="12">
                  <c:v>0.82477083333333334</c:v>
                </c:pt>
                <c:pt idx="13">
                  <c:v>0.76324999999999998</c:v>
                </c:pt>
                <c:pt idx="14">
                  <c:v>0.71051785714285709</c:v>
                </c:pt>
                <c:pt idx="15">
                  <c:v>0.78768333333333329</c:v>
                </c:pt>
                <c:pt idx="16">
                  <c:v>0.74001562499999995</c:v>
                </c:pt>
                <c:pt idx="17">
                  <c:v>0.69795588235294115</c:v>
                </c:pt>
                <c:pt idx="18">
                  <c:v>0.76295833333333329</c:v>
                </c:pt>
                <c:pt idx="19">
                  <c:v>0.72411842105263158</c:v>
                </c:pt>
                <c:pt idx="20">
                  <c:v>0.68916250000000001</c:v>
                </c:pt>
                <c:pt idx="21">
                  <c:v>0.74529761904761904</c:v>
                </c:pt>
                <c:pt idx="22">
                  <c:v>0.71255681818181815</c:v>
                </c:pt>
                <c:pt idx="23">
                  <c:v>0.6826630434782609</c:v>
                </c:pt>
                <c:pt idx="24">
                  <c:v>0.73205208333333338</c:v>
                </c:pt>
                <c:pt idx="25">
                  <c:v>0.70377000000000001</c:v>
                </c:pt>
                <c:pt idx="26">
                  <c:v>0.67766346153846158</c:v>
                </c:pt>
                <c:pt idx="27">
                  <c:v>0.72175</c:v>
                </c:pt>
                <c:pt idx="28">
                  <c:v>0.69686607142857138</c:v>
                </c:pt>
                <c:pt idx="29">
                  <c:v>0.67369827586206898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36-4D1D-8244-97EF5B4C7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501840"/>
        <c:axId val="4235005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'Graph Data &amp; Sensitivy Analysis'!$A$2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'Graph Data &amp; Sensitivy Analysis'!$B$2:$AE$2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5436-4D1D-8244-97EF5B4C73E6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Data &amp; Sensitivy Analysis'!$A$3</c15:sqref>
                        </c15:formulaRef>
                      </c:ext>
                    </c:extLst>
                    <c:strCache>
                      <c:ptCount val="1"/>
                      <c:pt idx="0">
                        <c:v>Cost per amp produced to date SOLAR ($/amp)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Data &amp; Sensitivy Analysis'!$B$3:$AE$3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1.2052228032466077E-2</c:v>
                      </c:pt>
                      <c:pt idx="1">
                        <c:v>1.2329408745308142E-2</c:v>
                      </c:pt>
                      <c:pt idx="2">
                        <c:v>6.3032947290751033E-3</c:v>
                      </c:pt>
                      <c:pt idx="3">
                        <c:v>4.2945900569974242E-3</c:v>
                      </c:pt>
                      <c:pt idx="4">
                        <c:v>3.2902377209585842E-3</c:v>
                      </c:pt>
                      <c:pt idx="5">
                        <c:v>2.6876263193352803E-3</c:v>
                      </c:pt>
                      <c:pt idx="6">
                        <c:v>2.2858853849197442E-3</c:v>
                      </c:pt>
                      <c:pt idx="7">
                        <c:v>1.9989275746229327E-3</c:v>
                      </c:pt>
                      <c:pt idx="8">
                        <c:v>1.7837092169003239E-3</c:v>
                      </c:pt>
                      <c:pt idx="9">
                        <c:v>1.6163171608938507E-3</c:v>
                      </c:pt>
                      <c:pt idx="10">
                        <c:v>1.4824035160886718E-3</c:v>
                      </c:pt>
                      <c:pt idx="11">
                        <c:v>1.3728378067026166E-3</c:v>
                      </c:pt>
                      <c:pt idx="12">
                        <c:v>1.2815330488809039E-3</c:v>
                      </c:pt>
                      <c:pt idx="13">
                        <c:v>1.2042751768779163E-3</c:v>
                      </c:pt>
                      <c:pt idx="14">
                        <c:v>1.1380541437324982E-3</c:v>
                      </c:pt>
                      <c:pt idx="15">
                        <c:v>1.0806625816731359E-3</c:v>
                      </c:pt>
                      <c:pt idx="16">
                        <c:v>1.0304449648711937E-3</c:v>
                      </c:pt>
                      <c:pt idx="17">
                        <c:v>9.8613530298712732E-4</c:v>
                      </c:pt>
                      <c:pt idx="18">
                        <c:v>9.467489368679571E-4</c:v>
                      </c:pt>
                      <c:pt idx="19">
                        <c:v>9.1150850402448903E-4</c:v>
                      </c:pt>
                      <c:pt idx="20">
                        <c:v>8.7979211446536775E-4</c:v>
                      </c:pt>
                      <c:pt idx="21">
                        <c:v>8.5109633343568658E-4</c:v>
                      </c:pt>
                      <c:pt idx="22">
                        <c:v>8.2500925977234006E-4</c:v>
                      </c:pt>
                      <c:pt idx="23">
                        <c:v>8.0119062729711065E-4</c:v>
                      </c:pt>
                      <c:pt idx="24">
                        <c:v>7.7935688086148383E-4</c:v>
                      </c:pt>
                      <c:pt idx="25">
                        <c:v>7.5926983414070694E-4</c:v>
                      </c:pt>
                      <c:pt idx="26">
                        <c:v>7.4072794485998989E-4</c:v>
                      </c:pt>
                      <c:pt idx="27">
                        <c:v>7.2355952885932594E-4</c:v>
                      </c:pt>
                      <c:pt idx="28">
                        <c:v>7.0761742828728087E-4</c:v>
                      </c:pt>
                      <c:pt idx="29">
                        <c:v>6.9277478292710103E-4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436-4D1D-8244-97EF5B4C73E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Data &amp; Sensitivy Analysis'!$A$4</c15:sqref>
                        </c15:formulaRef>
                      </c:ext>
                    </c:extLst>
                    <c:strCache>
                      <c:ptCount val="1"/>
                      <c:pt idx="0">
                        <c:v>Cost per amp produced to date WIND ($/amp)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 Data &amp; Sensitivy Analysis'!$B$4:$AE$4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3.4253940197378112E-3</c:v>
                      </c:pt>
                      <c:pt idx="1">
                        <c:v>3.451907497422301E-3</c:v>
                      </c:pt>
                      <c:pt idx="2">
                        <c:v>1.7392104875533954E-3</c:v>
                      </c:pt>
                      <c:pt idx="3">
                        <c:v>1.1683114842637602E-3</c:v>
                      </c:pt>
                      <c:pt idx="4">
                        <c:v>8.8286198261894257E-4</c:v>
                      </c:pt>
                      <c:pt idx="5">
                        <c:v>7.1159228163205203E-4</c:v>
                      </c:pt>
                      <c:pt idx="6">
                        <c:v>5.9741248097412497E-4</c:v>
                      </c:pt>
                      <c:pt idx="7">
                        <c:v>5.158554805041771E-4</c:v>
                      </c:pt>
                      <c:pt idx="8">
                        <c:v>4.5468773015171622E-4</c:v>
                      </c:pt>
                      <c:pt idx="9">
                        <c:v>4.0711281321091327E-4</c:v>
                      </c:pt>
                      <c:pt idx="10">
                        <c:v>3.690528796582709E-4</c:v>
                      </c:pt>
                      <c:pt idx="11">
                        <c:v>3.379129340242908E-4</c:v>
                      </c:pt>
                      <c:pt idx="12">
                        <c:v>3.1196297932930742E-4</c:v>
                      </c:pt>
                      <c:pt idx="13">
                        <c:v>2.9000532535662914E-4</c:v>
                      </c:pt>
                      <c:pt idx="14">
                        <c:v>2.7118447909433343E-4</c:v>
                      </c:pt>
                      <c:pt idx="15">
                        <c:v>2.5487307900034389E-4</c:v>
                      </c:pt>
                      <c:pt idx="16">
                        <c:v>2.4060060391810299E-4</c:v>
                      </c:pt>
                      <c:pt idx="17">
                        <c:v>2.2800724355141985E-4</c:v>
                      </c:pt>
                      <c:pt idx="18">
                        <c:v>2.1681314544770152E-4</c:v>
                      </c:pt>
                      <c:pt idx="19">
                        <c:v>2.0679737346016407E-4</c:v>
                      </c:pt>
                      <c:pt idx="20">
                        <c:v>1.9778317867138036E-4</c:v>
                      </c:pt>
                      <c:pt idx="21">
                        <c:v>1.8962747862438556E-4</c:v>
                      </c:pt>
                      <c:pt idx="22">
                        <c:v>1.8221320585439031E-4</c:v>
                      </c:pt>
                      <c:pt idx="23">
                        <c:v>1.7544365245569896E-4</c:v>
                      </c:pt>
                      <c:pt idx="24">
                        <c:v>1.6923822850689859E-4</c:v>
                      </c:pt>
                      <c:pt idx="25">
                        <c:v>1.6352923847400225E-4</c:v>
                      </c:pt>
                      <c:pt idx="26">
                        <c:v>1.5825940152055945E-4</c:v>
                      </c:pt>
                      <c:pt idx="27">
                        <c:v>1.5337992285996427E-4</c:v>
                      </c:pt>
                      <c:pt idx="28">
                        <c:v>1.4884897838941162E-4</c:v>
                      </c:pt>
                      <c:pt idx="29">
                        <c:v>1.446305128478626E-4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436-4D1D-8244-97EF5B4C73E6}"/>
                  </c:ext>
                </c:extLst>
              </c15:ser>
            </c15:filteredLineSeries>
          </c:ext>
        </c:extLst>
      </c:lineChart>
      <c:catAx>
        <c:axId val="423501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Year</a:t>
                </a:r>
              </a:p>
            </c:rich>
          </c:tx>
          <c:layout>
            <c:manualLayout>
              <c:xMode val="edge"/>
              <c:yMode val="edge"/>
              <c:x val="0.49464968932157621"/>
              <c:y val="0.77290319898131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500528"/>
        <c:crosses val="autoZero"/>
        <c:auto val="1"/>
        <c:lblAlgn val="ctr"/>
        <c:lblOffset val="100"/>
        <c:noMultiLvlLbl val="0"/>
      </c:catAx>
      <c:valAx>
        <c:axId val="423500528"/>
        <c:scaling>
          <c:orientation val="minMax"/>
          <c:max val="2.449999999999999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effectLst/>
                  </a:rPr>
                  <a:t>Cost  per Amp Produced ($/amp)</a:t>
                </a:r>
                <a:endParaRPr lang="en-US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501840"/>
        <c:crosses val="autoZero"/>
        <c:crossBetween val="between"/>
        <c:majorUnit val="9.0000000000000024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019980715507106E-2"/>
          <c:y val="0.82541160572750183"/>
          <c:w val="0.91495585249402089"/>
          <c:h val="0.142905225955666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Cost per Amp Produced Over Time Lithium-Ion Battery Days of Autonomy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'Graph Data &amp; Sensitivy Analysis'!$A$8</c:f>
              <c:strCache>
                <c:ptCount val="1"/>
                <c:pt idx="0">
                  <c:v>Cost per amp produced to date Lithium-Ion ($/amp)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Dot"/>
              <a:round/>
            </a:ln>
            <a:effectLst/>
          </c:spPr>
          <c:marker>
            <c:symbol val="none"/>
          </c:marker>
          <c:val>
            <c:numRef>
              <c:f>'Graph Data &amp; Sensitivy Analysis'!$B$8:$AE$8</c:f>
              <c:numCache>
                <c:formatCode>General</c:formatCode>
                <c:ptCount val="30"/>
                <c:pt idx="0">
                  <c:v>2.9027397260273972E-2</c:v>
                </c:pt>
                <c:pt idx="1">
                  <c:v>2.9027397260273972E-2</c:v>
                </c:pt>
                <c:pt idx="2">
                  <c:v>1.4513698630136986E-2</c:v>
                </c:pt>
                <c:pt idx="3">
                  <c:v>9.6757990867579902E-3</c:v>
                </c:pt>
                <c:pt idx="4">
                  <c:v>7.2568493150684931E-3</c:v>
                </c:pt>
                <c:pt idx="5">
                  <c:v>5.8054794520547943E-3</c:v>
                </c:pt>
                <c:pt idx="6">
                  <c:v>4.8378995433789951E-3</c:v>
                </c:pt>
                <c:pt idx="7">
                  <c:v>4.1467710371819958E-3</c:v>
                </c:pt>
                <c:pt idx="8">
                  <c:v>3.6284246575342466E-3</c:v>
                </c:pt>
                <c:pt idx="9">
                  <c:v>3.2252663622526637E-3</c:v>
                </c:pt>
                <c:pt idx="10">
                  <c:v>2.9027397260273972E-3</c:v>
                </c:pt>
                <c:pt idx="11">
                  <c:v>2.638854296388543E-3</c:v>
                </c:pt>
                <c:pt idx="12">
                  <c:v>2.4189497716894976E-3</c:v>
                </c:pt>
                <c:pt idx="13">
                  <c:v>2.2328767123287671E-3</c:v>
                </c:pt>
                <c:pt idx="14">
                  <c:v>2.0733855185909979E-3</c:v>
                </c:pt>
                <c:pt idx="15">
                  <c:v>1.9351598173515982E-3</c:v>
                </c:pt>
                <c:pt idx="16">
                  <c:v>3.6190068493150685E-3</c:v>
                </c:pt>
                <c:pt idx="17">
                  <c:v>3.4061240934730058E-3</c:v>
                </c:pt>
                <c:pt idx="18">
                  <c:v>3.2168949771689496E-3</c:v>
                </c:pt>
                <c:pt idx="19">
                  <c:v>3.0475847152126893E-3</c:v>
                </c:pt>
                <c:pt idx="20">
                  <c:v>2.895205479452055E-3</c:v>
                </c:pt>
                <c:pt idx="21">
                  <c:v>2.7573385518590999E-3</c:v>
                </c:pt>
                <c:pt idx="22">
                  <c:v>2.6320049813200498E-3</c:v>
                </c:pt>
                <c:pt idx="23">
                  <c:v>2.5175699821322214E-3</c:v>
                </c:pt>
                <c:pt idx="24">
                  <c:v>2.4126712328767122E-3</c:v>
                </c:pt>
                <c:pt idx="25">
                  <c:v>2.3161643835616437E-3</c:v>
                </c:pt>
                <c:pt idx="26">
                  <c:v>2.2270811380400422E-3</c:v>
                </c:pt>
                <c:pt idx="27">
                  <c:v>2.1445966514459665E-3</c:v>
                </c:pt>
                <c:pt idx="28">
                  <c:v>2.0680039138943249E-3</c:v>
                </c:pt>
                <c:pt idx="29">
                  <c:v>1.9966934341048652E-3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55-4747-8E2F-6F1BD1381FD3}"/>
            </c:ext>
          </c:extLst>
        </c:ser>
        <c:ser>
          <c:idx val="2"/>
          <c:order val="1"/>
          <c:tx>
            <c:strRef>
              <c:f>'Graph Data &amp; Sensitivy Analysis'!$A$9</c:f>
              <c:strCache>
                <c:ptCount val="1"/>
                <c:pt idx="0">
                  <c:v>Cost per amp produced to date Lithium-Ion battery 3-day Autonomy($/amp)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'Graph Data &amp; Sensitivy Analysis'!$B$9:$AE$9</c:f>
              <c:numCache>
                <c:formatCode>General</c:formatCode>
                <c:ptCount val="30"/>
                <c:pt idx="0">
                  <c:v>2.9027397260273972E-2</c:v>
                </c:pt>
                <c:pt idx="1">
                  <c:v>2.9027397260273972E-2</c:v>
                </c:pt>
                <c:pt idx="2">
                  <c:v>1.4513698630136986E-2</c:v>
                </c:pt>
                <c:pt idx="3">
                  <c:v>9.6757990867579902E-3</c:v>
                </c:pt>
                <c:pt idx="4">
                  <c:v>7.2568493150684931E-3</c:v>
                </c:pt>
                <c:pt idx="5">
                  <c:v>5.8054794520547943E-3</c:v>
                </c:pt>
                <c:pt idx="6">
                  <c:v>4.8378995433789951E-3</c:v>
                </c:pt>
                <c:pt idx="7">
                  <c:v>4.1467710371819958E-3</c:v>
                </c:pt>
                <c:pt idx="8">
                  <c:v>3.6284246575342466E-3</c:v>
                </c:pt>
                <c:pt idx="9">
                  <c:v>3.2252663622526637E-3</c:v>
                </c:pt>
                <c:pt idx="10">
                  <c:v>2.9027397260273972E-3</c:v>
                </c:pt>
                <c:pt idx="11">
                  <c:v>2.638854296388543E-3</c:v>
                </c:pt>
                <c:pt idx="12">
                  <c:v>2.4189497716894976E-3</c:v>
                </c:pt>
                <c:pt idx="13">
                  <c:v>2.2328767123287671E-3</c:v>
                </c:pt>
                <c:pt idx="14">
                  <c:v>2.0733855185909979E-3</c:v>
                </c:pt>
                <c:pt idx="15">
                  <c:v>1.9351598173515982E-3</c:v>
                </c:pt>
                <c:pt idx="16">
                  <c:v>3.6190068493150685E-3</c:v>
                </c:pt>
                <c:pt idx="17">
                  <c:v>3.4061240934730058E-3</c:v>
                </c:pt>
                <c:pt idx="18">
                  <c:v>3.2168949771689496E-3</c:v>
                </c:pt>
                <c:pt idx="19">
                  <c:v>3.0475847152126893E-3</c:v>
                </c:pt>
                <c:pt idx="20">
                  <c:v>2.895205479452055E-3</c:v>
                </c:pt>
                <c:pt idx="21">
                  <c:v>2.7573385518590999E-3</c:v>
                </c:pt>
                <c:pt idx="22">
                  <c:v>2.6320049813200498E-3</c:v>
                </c:pt>
                <c:pt idx="23">
                  <c:v>2.5175699821322214E-3</c:v>
                </c:pt>
                <c:pt idx="24">
                  <c:v>2.4126712328767122E-3</c:v>
                </c:pt>
                <c:pt idx="25">
                  <c:v>2.3161643835616437E-3</c:v>
                </c:pt>
                <c:pt idx="26">
                  <c:v>2.2270811380400422E-3</c:v>
                </c:pt>
                <c:pt idx="27">
                  <c:v>2.1445966514459665E-3</c:v>
                </c:pt>
                <c:pt idx="28">
                  <c:v>2.0680039138943249E-3</c:v>
                </c:pt>
                <c:pt idx="29">
                  <c:v>1.9966934341048652E-3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55-4747-8E2F-6F1BD1381FD3}"/>
            </c:ext>
          </c:extLst>
        </c:ser>
        <c:ser>
          <c:idx val="3"/>
          <c:order val="2"/>
          <c:tx>
            <c:strRef>
              <c:f>'Graph Data &amp; Sensitivy Analysis'!$A$10</c:f>
              <c:strCache>
                <c:ptCount val="1"/>
                <c:pt idx="0">
                  <c:v>Cost per amp produced to date  Lithium-Ion battery 5-day Autonomy($/amp)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'Graph Data &amp; Sensitivy Analysis'!$B$10:$AE$10</c:f>
              <c:numCache>
                <c:formatCode>General</c:formatCode>
                <c:ptCount val="30"/>
                <c:pt idx="0">
                  <c:v>2.9027397260273972E-2</c:v>
                </c:pt>
                <c:pt idx="1">
                  <c:v>2.9027397260273972E-2</c:v>
                </c:pt>
                <c:pt idx="2">
                  <c:v>1.4513698630136986E-2</c:v>
                </c:pt>
                <c:pt idx="3">
                  <c:v>9.6757990867579902E-3</c:v>
                </c:pt>
                <c:pt idx="4">
                  <c:v>7.2568493150684931E-3</c:v>
                </c:pt>
                <c:pt idx="5">
                  <c:v>5.8054794520547943E-3</c:v>
                </c:pt>
                <c:pt idx="6">
                  <c:v>4.8378995433789951E-3</c:v>
                </c:pt>
                <c:pt idx="7">
                  <c:v>4.1467710371819958E-3</c:v>
                </c:pt>
                <c:pt idx="8">
                  <c:v>3.6284246575342466E-3</c:v>
                </c:pt>
                <c:pt idx="9">
                  <c:v>3.2252663622526637E-3</c:v>
                </c:pt>
                <c:pt idx="10">
                  <c:v>2.9027397260273972E-3</c:v>
                </c:pt>
                <c:pt idx="11">
                  <c:v>2.638854296388543E-3</c:v>
                </c:pt>
                <c:pt idx="12">
                  <c:v>2.4189497716894976E-3</c:v>
                </c:pt>
                <c:pt idx="13">
                  <c:v>2.2328767123287671E-3</c:v>
                </c:pt>
                <c:pt idx="14">
                  <c:v>2.0733855185909979E-3</c:v>
                </c:pt>
                <c:pt idx="15">
                  <c:v>1.9351598173515982E-3</c:v>
                </c:pt>
                <c:pt idx="16">
                  <c:v>3.6190068493150685E-3</c:v>
                </c:pt>
                <c:pt idx="17">
                  <c:v>3.4061240934730058E-3</c:v>
                </c:pt>
                <c:pt idx="18">
                  <c:v>3.2168949771689496E-3</c:v>
                </c:pt>
                <c:pt idx="19">
                  <c:v>3.0475847152126893E-3</c:v>
                </c:pt>
                <c:pt idx="20">
                  <c:v>2.895205479452055E-3</c:v>
                </c:pt>
                <c:pt idx="21">
                  <c:v>2.7573385518590999E-3</c:v>
                </c:pt>
                <c:pt idx="22">
                  <c:v>2.6320049813200498E-3</c:v>
                </c:pt>
                <c:pt idx="23">
                  <c:v>2.5175699821322214E-3</c:v>
                </c:pt>
                <c:pt idx="24">
                  <c:v>2.4126712328767122E-3</c:v>
                </c:pt>
                <c:pt idx="25">
                  <c:v>2.3161643835616437E-3</c:v>
                </c:pt>
                <c:pt idx="26">
                  <c:v>2.2270811380400422E-3</c:v>
                </c:pt>
                <c:pt idx="27">
                  <c:v>2.1445966514459665E-3</c:v>
                </c:pt>
                <c:pt idx="28">
                  <c:v>2.0680039138943249E-3</c:v>
                </c:pt>
                <c:pt idx="29">
                  <c:v>1.9966934341048652E-3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55-4747-8E2F-6F1BD1381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370144"/>
        <c:axId val="493371456"/>
      </c:lineChart>
      <c:catAx>
        <c:axId val="493370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371456"/>
        <c:crosses val="autoZero"/>
        <c:auto val="1"/>
        <c:lblAlgn val="ctr"/>
        <c:lblOffset val="100"/>
        <c:noMultiLvlLbl val="0"/>
      </c:catAx>
      <c:valAx>
        <c:axId val="49337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effectLst/>
                  </a:rPr>
                  <a:t>Cost  per Amp Produced ($/amp)</a:t>
                </a:r>
                <a:endParaRPr lang="en-US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37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Cost per Amp Produced Over Time PHS Days of Autonomy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'Graph Data &amp; Sensitivy Analysis'!$A$11</c:f>
              <c:strCache>
                <c:ptCount val="1"/>
                <c:pt idx="0">
                  <c:v>Cost per amp produced to date PHS ($/amp)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Dot"/>
              <a:round/>
            </a:ln>
            <a:effectLst/>
          </c:spPr>
          <c:marker>
            <c:symbol val="none"/>
          </c:marker>
          <c:val>
            <c:numRef>
              <c:f>'Graph Data &amp; Sensitivy Analysis'!$B$11:$AE$11</c:f>
              <c:numCache>
                <c:formatCode>General</c:formatCode>
                <c:ptCount val="30"/>
                <c:pt idx="0">
                  <c:v>3.2829896659456861E-2</c:v>
                </c:pt>
                <c:pt idx="1">
                  <c:v>3.317596731554915E-2</c:v>
                </c:pt>
                <c:pt idx="2">
                  <c:v>1.6761018985820716E-2</c:v>
                </c:pt>
                <c:pt idx="3">
                  <c:v>1.1289369542577907E-2</c:v>
                </c:pt>
                <c:pt idx="4">
                  <c:v>8.5535448209565004E-3</c:v>
                </c:pt>
                <c:pt idx="5">
                  <c:v>6.9120499879836584E-3</c:v>
                </c:pt>
                <c:pt idx="6">
                  <c:v>5.8177200993350959E-3</c:v>
                </c:pt>
                <c:pt idx="7">
                  <c:v>5.0360558931575516E-3</c:v>
                </c:pt>
                <c:pt idx="8">
                  <c:v>4.4498077385243936E-3</c:v>
                </c:pt>
                <c:pt idx="9">
                  <c:v>3.9938369515874926E-3</c:v>
                </c:pt>
                <c:pt idx="10">
                  <c:v>3.6290603220379717E-3</c:v>
                </c:pt>
                <c:pt idx="11">
                  <c:v>3.3306067160429093E-3</c:v>
                </c:pt>
                <c:pt idx="12">
                  <c:v>3.0818953777136909E-3</c:v>
                </c:pt>
                <c:pt idx="13">
                  <c:v>2.8714473222043518E-3</c:v>
                </c:pt>
                <c:pt idx="14">
                  <c:v>2.6910632746249183E-3</c:v>
                </c:pt>
                <c:pt idx="15">
                  <c:v>2.5347304333894097E-3</c:v>
                </c:pt>
                <c:pt idx="16">
                  <c:v>2.3979391973083393E-3</c:v>
                </c:pt>
                <c:pt idx="17">
                  <c:v>2.2772410478250423E-3</c:v>
                </c:pt>
                <c:pt idx="18">
                  <c:v>2.1699538038398888E-3</c:v>
                </c:pt>
                <c:pt idx="19">
                  <c:v>2.0739599539584363E-3</c:v>
                </c:pt>
                <c:pt idx="20">
                  <c:v>1.9875654890651288E-3</c:v>
                </c:pt>
                <c:pt idx="21">
                  <c:v>1.9093990684473743E-3</c:v>
                </c:pt>
                <c:pt idx="22">
                  <c:v>1.8383386860675974E-3</c:v>
                </c:pt>
                <c:pt idx="23">
                  <c:v>1.7734574673730187E-3</c:v>
                </c:pt>
                <c:pt idx="24">
                  <c:v>1.7139830169029882E-3</c:v>
                </c:pt>
                <c:pt idx="25">
                  <c:v>1.65926652247056E-3</c:v>
                </c:pt>
                <c:pt idx="26">
                  <c:v>1.6087589891483187E-3</c:v>
                </c:pt>
                <c:pt idx="27">
                  <c:v>1.5619927545906878E-3</c:v>
                </c:pt>
                <c:pt idx="28">
                  <c:v>1.5185669653586019E-3</c:v>
                </c:pt>
                <c:pt idx="29">
                  <c:v>1.4781360581425222E-3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3B-41F1-82BD-BD8C8413C2FB}"/>
            </c:ext>
          </c:extLst>
        </c:ser>
        <c:ser>
          <c:idx val="2"/>
          <c:order val="1"/>
          <c:tx>
            <c:strRef>
              <c:f>'Graph Data &amp; Sensitivy Analysis'!$A$12</c:f>
              <c:strCache>
                <c:ptCount val="1"/>
                <c:pt idx="0">
                  <c:v>Cost per amp produced to date PHS 3-day Autonomy($/amp)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'Graph Data &amp; Sensitivy Analysis'!$B$12:$AE$12</c:f>
              <c:numCache>
                <c:formatCode>General</c:formatCode>
                <c:ptCount val="30"/>
                <c:pt idx="0">
                  <c:v>1.8178739085155812E-2</c:v>
                </c:pt>
                <c:pt idx="1">
                  <c:v>1.8294095970519907E-2</c:v>
                </c:pt>
                <c:pt idx="2">
                  <c:v>9.2047264279420012E-3</c:v>
                </c:pt>
                <c:pt idx="3">
                  <c:v>6.1749365804160327E-3</c:v>
                </c:pt>
                <c:pt idx="4">
                  <c:v>4.6600416566530481E-3</c:v>
                </c:pt>
                <c:pt idx="5">
                  <c:v>3.7511047023952577E-3</c:v>
                </c:pt>
                <c:pt idx="6">
                  <c:v>3.1451467328900639E-3</c:v>
                </c:pt>
                <c:pt idx="7">
                  <c:v>2.7123196118149255E-3</c:v>
                </c:pt>
                <c:pt idx="8">
                  <c:v>2.3876992710085716E-3</c:v>
                </c:pt>
                <c:pt idx="9">
                  <c:v>2.1352167837147408E-3</c:v>
                </c:pt>
                <c:pt idx="10">
                  <c:v>1.9332307938796764E-3</c:v>
                </c:pt>
                <c:pt idx="11">
                  <c:v>1.7679695294691689E-3</c:v>
                </c:pt>
                <c:pt idx="12">
                  <c:v>1.6302518091270795E-3</c:v>
                </c:pt>
                <c:pt idx="13">
                  <c:v>1.5137214303760807E-3</c:v>
                </c:pt>
                <c:pt idx="14">
                  <c:v>1.4138382485895102E-3</c:v>
                </c:pt>
                <c:pt idx="15">
                  <c:v>1.3272728243744827E-3</c:v>
                </c:pt>
                <c:pt idx="16">
                  <c:v>1.2515280781863335E-3</c:v>
                </c:pt>
                <c:pt idx="17">
                  <c:v>1.1846944786085547E-3</c:v>
                </c:pt>
                <c:pt idx="18">
                  <c:v>1.1252868345394181E-3</c:v>
                </c:pt>
                <c:pt idx="19">
                  <c:v>1.0721326266880853E-3</c:v>
                </c:pt>
                <c:pt idx="20">
                  <c:v>1.0242938396218858E-3</c:v>
                </c:pt>
                <c:pt idx="21">
                  <c:v>9.8101112751437184E-4</c:v>
                </c:pt>
                <c:pt idx="22">
                  <c:v>9.4166320741663207E-4</c:v>
                </c:pt>
                <c:pt idx="23">
                  <c:v>9.0573684558826095E-4</c:v>
                </c:pt>
                <c:pt idx="24">
                  <c:v>8.7280434724558735E-4</c:v>
                </c:pt>
                <c:pt idx="25">
                  <c:v>8.4250644877032768E-4</c:v>
                </c:pt>
                <c:pt idx="26">
                  <c:v>8.1453915787008796E-4</c:v>
                </c:pt>
                <c:pt idx="27">
                  <c:v>7.8864351814764372E-4</c:v>
                </c:pt>
                <c:pt idx="28">
                  <c:v>7.6459756697680274E-4</c:v>
                </c:pt>
                <c:pt idx="29">
                  <c:v>7.4220995726601978E-4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3B-41F1-82BD-BD8C8413C2FB}"/>
            </c:ext>
          </c:extLst>
        </c:ser>
        <c:ser>
          <c:idx val="3"/>
          <c:order val="2"/>
          <c:tx>
            <c:strRef>
              <c:f>'Graph Data &amp; Sensitivy Analysis'!$A$13</c:f>
              <c:strCache>
                <c:ptCount val="1"/>
                <c:pt idx="0">
                  <c:v>Cost per amp produced to date PHS 5-day Autonomy ($/amp)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'Graph Data &amp; Sensitivy Analysis'!$B$13:$AE$13</c:f>
              <c:numCache>
                <c:formatCode>General</c:formatCode>
                <c:ptCount val="30"/>
                <c:pt idx="0">
                  <c:v>8.1667417480877445E-3</c:v>
                </c:pt>
                <c:pt idx="1">
                  <c:v>8.2359558793062022E-3</c:v>
                </c:pt>
                <c:pt idx="2">
                  <c:v>4.1525850052623299E-3</c:v>
                </c:pt>
                <c:pt idx="3">
                  <c:v>2.7914613805810388E-3</c:v>
                </c:pt>
                <c:pt idx="4">
                  <c:v>2.1108995682403934E-3</c:v>
                </c:pt>
                <c:pt idx="5">
                  <c:v>1.7025624808360061E-3</c:v>
                </c:pt>
                <c:pt idx="6">
                  <c:v>1.430337755899748E-3</c:v>
                </c:pt>
                <c:pt idx="7">
                  <c:v>1.2358915238024207E-3</c:v>
                </c:pt>
                <c:pt idx="8">
                  <c:v>1.0900568497294253E-3</c:v>
                </c:pt>
                <c:pt idx="9">
                  <c:v>9.7662988100598444E-4</c:v>
                </c:pt>
                <c:pt idx="10">
                  <c:v>8.8588830602723159E-4</c:v>
                </c:pt>
                <c:pt idx="11">
                  <c:v>8.1164519922643391E-4</c:v>
                </c:pt>
                <c:pt idx="12">
                  <c:v>7.4977594355910254E-4</c:v>
                </c:pt>
                <c:pt idx="13">
                  <c:v>6.9742503491751441E-4</c:v>
                </c:pt>
                <c:pt idx="14">
                  <c:v>6.525528275104389E-4</c:v>
                </c:pt>
                <c:pt idx="15">
                  <c:v>6.1366358109097349E-4</c:v>
                </c:pt>
                <c:pt idx="16">
                  <c:v>5.796354904739412E-4</c:v>
                </c:pt>
                <c:pt idx="17">
                  <c:v>5.4961070463538332E-4</c:v>
                </c:pt>
                <c:pt idx="18">
                  <c:v>5.2292200611222075E-4</c:v>
                </c:pt>
                <c:pt idx="19">
                  <c:v>4.9904264427570689E-4</c:v>
                </c:pt>
                <c:pt idx="20">
                  <c:v>4.7755121862284438E-4</c:v>
                </c:pt>
                <c:pt idx="21">
                  <c:v>4.5810659541311162E-4</c:v>
                </c:pt>
                <c:pt idx="22">
                  <c:v>4.4042966522244554E-4</c:v>
                </c:pt>
                <c:pt idx="23">
                  <c:v>4.2428985939618513E-4</c:v>
                </c:pt>
                <c:pt idx="24">
                  <c:v>4.094950373887798E-4</c:v>
                </c:pt>
                <c:pt idx="25">
                  <c:v>3.9588380114196693E-4</c:v>
                </c:pt>
                <c:pt idx="26">
                  <c:v>3.8331958306798579E-4</c:v>
                </c:pt>
                <c:pt idx="27">
                  <c:v>3.7168604781429954E-4</c:v>
                </c:pt>
                <c:pt idx="28">
                  <c:v>3.6088347936444798E-4</c:v>
                </c:pt>
                <c:pt idx="29">
                  <c:v>3.5082591563527591E-4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3B-41F1-82BD-BD8C8413C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797704"/>
        <c:axId val="491798360"/>
      </c:lineChart>
      <c:catAx>
        <c:axId val="491797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798360"/>
        <c:crosses val="autoZero"/>
        <c:auto val="1"/>
        <c:lblAlgn val="ctr"/>
        <c:lblOffset val="100"/>
        <c:noMultiLvlLbl val="0"/>
      </c:catAx>
      <c:valAx>
        <c:axId val="49179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effectLst/>
                  </a:rPr>
                  <a:t>Cost  per Amp Produced ($/amp)</a:t>
                </a:r>
                <a:endParaRPr lang="en-US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797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Cost per Amps Produced Over Time Storage System Comparison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'Graph Data &amp; Sensitivy Analysis'!$A$5</c:f>
              <c:strCache>
                <c:ptCount val="1"/>
                <c:pt idx="0">
                  <c:v>Cost per amp produced to date LEAD-ACID BATTERY ($/amp)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'Graph Data &amp; Sensitivy Analysis'!$B$5:$AE$5</c:f>
              <c:numCache>
                <c:formatCode>General</c:formatCode>
                <c:ptCount val="30"/>
                <c:pt idx="0">
                  <c:v>1.2E-2</c:v>
                </c:pt>
                <c:pt idx="1">
                  <c:v>1.6287671232876711E-2</c:v>
                </c:pt>
                <c:pt idx="2">
                  <c:v>1.0287671232876713E-2</c:v>
                </c:pt>
                <c:pt idx="3">
                  <c:v>1.0607305936073059E-2</c:v>
                </c:pt>
                <c:pt idx="4">
                  <c:v>9.027397260273972E-3</c:v>
                </c:pt>
                <c:pt idx="5">
                  <c:v>8.0794520547945205E-3</c:v>
                </c:pt>
                <c:pt idx="6">
                  <c:v>8.6073059360730602E-3</c:v>
                </c:pt>
                <c:pt idx="7">
                  <c:v>7.9902152641878662E-3</c:v>
                </c:pt>
                <c:pt idx="8">
                  <c:v>7.5273972602739724E-3</c:v>
                </c:pt>
                <c:pt idx="9">
                  <c:v>7.9406392694063924E-3</c:v>
                </c:pt>
                <c:pt idx="10">
                  <c:v>7.5753424657534251E-3</c:v>
                </c:pt>
                <c:pt idx="11">
                  <c:v>7.2764632627646325E-3</c:v>
                </c:pt>
                <c:pt idx="12">
                  <c:v>7.6073059360730593E-3</c:v>
                </c:pt>
                <c:pt idx="13">
                  <c:v>7.3519494204425714E-3</c:v>
                </c:pt>
                <c:pt idx="14">
                  <c:v>7.1330724070450095E-3</c:v>
                </c:pt>
                <c:pt idx="15">
                  <c:v>7.4073059360730597E-3</c:v>
                </c:pt>
                <c:pt idx="16">
                  <c:v>7.2123287671232873E-3</c:v>
                </c:pt>
                <c:pt idx="17">
                  <c:v>7.0402900886381951E-3</c:v>
                </c:pt>
                <c:pt idx="18">
                  <c:v>7.2739726027397263E-3</c:v>
                </c:pt>
                <c:pt idx="19">
                  <c:v>7.1167988464311462E-3</c:v>
                </c:pt>
                <c:pt idx="20">
                  <c:v>6.9753424657534244E-3</c:v>
                </c:pt>
                <c:pt idx="21">
                  <c:v>7.178734507501631E-3</c:v>
                </c:pt>
                <c:pt idx="22">
                  <c:v>7.0473225404732252E-3</c:v>
                </c:pt>
                <c:pt idx="23">
                  <c:v>6.9273377010125071E-3</c:v>
                </c:pt>
                <c:pt idx="24">
                  <c:v>7.1073059360730597E-3</c:v>
                </c:pt>
                <c:pt idx="25">
                  <c:v>6.9945205479452054E-3</c:v>
                </c:pt>
                <c:pt idx="26">
                  <c:v>6.8904109589041094E-3</c:v>
                </c:pt>
                <c:pt idx="27">
                  <c:v>7.0517503805175036E-3</c:v>
                </c:pt>
                <c:pt idx="28">
                  <c:v>6.9530332681017612E-3</c:v>
                </c:pt>
                <c:pt idx="29">
                  <c:v>6.8611242324043455E-3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C8-43E1-9574-41195B0C170B}"/>
            </c:ext>
          </c:extLst>
        </c:ser>
        <c:ser>
          <c:idx val="2"/>
          <c:order val="1"/>
          <c:tx>
            <c:strRef>
              <c:f>'Graph Data &amp; Sensitivy Analysis'!$A$8</c:f>
              <c:strCache>
                <c:ptCount val="1"/>
                <c:pt idx="0">
                  <c:v>Cost per amp produced to date Lithium-Ion ($/amp)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val>
            <c:numRef>
              <c:f>'Graph Data &amp; Sensitivy Analysis'!$B$8:$AE$8</c:f>
              <c:numCache>
                <c:formatCode>General</c:formatCode>
                <c:ptCount val="30"/>
                <c:pt idx="0">
                  <c:v>2.9027397260273972E-2</c:v>
                </c:pt>
                <c:pt idx="1">
                  <c:v>2.9027397260273972E-2</c:v>
                </c:pt>
                <c:pt idx="2">
                  <c:v>1.4513698630136986E-2</c:v>
                </c:pt>
                <c:pt idx="3">
                  <c:v>9.6757990867579902E-3</c:v>
                </c:pt>
                <c:pt idx="4">
                  <c:v>7.2568493150684931E-3</c:v>
                </c:pt>
                <c:pt idx="5">
                  <c:v>5.8054794520547943E-3</c:v>
                </c:pt>
                <c:pt idx="6">
                  <c:v>4.8378995433789951E-3</c:v>
                </c:pt>
                <c:pt idx="7">
                  <c:v>4.1467710371819958E-3</c:v>
                </c:pt>
                <c:pt idx="8">
                  <c:v>3.6284246575342466E-3</c:v>
                </c:pt>
                <c:pt idx="9">
                  <c:v>3.2252663622526637E-3</c:v>
                </c:pt>
                <c:pt idx="10">
                  <c:v>2.9027397260273972E-3</c:v>
                </c:pt>
                <c:pt idx="11">
                  <c:v>2.638854296388543E-3</c:v>
                </c:pt>
                <c:pt idx="12">
                  <c:v>2.4189497716894976E-3</c:v>
                </c:pt>
                <c:pt idx="13">
                  <c:v>2.2328767123287671E-3</c:v>
                </c:pt>
                <c:pt idx="14">
                  <c:v>2.0733855185909979E-3</c:v>
                </c:pt>
                <c:pt idx="15">
                  <c:v>1.9351598173515982E-3</c:v>
                </c:pt>
                <c:pt idx="16">
                  <c:v>3.6190068493150685E-3</c:v>
                </c:pt>
                <c:pt idx="17">
                  <c:v>3.4061240934730058E-3</c:v>
                </c:pt>
                <c:pt idx="18">
                  <c:v>3.2168949771689496E-3</c:v>
                </c:pt>
                <c:pt idx="19">
                  <c:v>3.0475847152126893E-3</c:v>
                </c:pt>
                <c:pt idx="20">
                  <c:v>2.895205479452055E-3</c:v>
                </c:pt>
                <c:pt idx="21">
                  <c:v>2.7573385518590999E-3</c:v>
                </c:pt>
                <c:pt idx="22">
                  <c:v>2.6320049813200498E-3</c:v>
                </c:pt>
                <c:pt idx="23">
                  <c:v>2.5175699821322214E-3</c:v>
                </c:pt>
                <c:pt idx="24">
                  <c:v>2.4126712328767122E-3</c:v>
                </c:pt>
                <c:pt idx="25">
                  <c:v>2.3161643835616437E-3</c:v>
                </c:pt>
                <c:pt idx="26">
                  <c:v>2.2270811380400422E-3</c:v>
                </c:pt>
                <c:pt idx="27">
                  <c:v>2.1445966514459665E-3</c:v>
                </c:pt>
                <c:pt idx="28">
                  <c:v>2.0680039138943249E-3</c:v>
                </c:pt>
                <c:pt idx="29">
                  <c:v>1.9966934341048652E-3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C8-43E1-9574-41195B0C170B}"/>
            </c:ext>
          </c:extLst>
        </c:ser>
        <c:ser>
          <c:idx val="3"/>
          <c:order val="2"/>
          <c:tx>
            <c:strRef>
              <c:f>'Graph Data &amp; Sensitivy Analysis'!$A$11</c:f>
              <c:strCache>
                <c:ptCount val="1"/>
                <c:pt idx="0">
                  <c:v>Cost per amp produced to date PHS ($/amp)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lgDash"/>
              <a:round/>
            </a:ln>
            <a:effectLst/>
          </c:spPr>
          <c:marker>
            <c:symbol val="none"/>
          </c:marker>
          <c:val>
            <c:numRef>
              <c:f>'Graph Data &amp; Sensitivy Analysis'!$B$11:$AE$11</c:f>
              <c:numCache>
                <c:formatCode>General</c:formatCode>
                <c:ptCount val="30"/>
                <c:pt idx="0">
                  <c:v>3.2829896659456861E-2</c:v>
                </c:pt>
                <c:pt idx="1">
                  <c:v>3.317596731554915E-2</c:v>
                </c:pt>
                <c:pt idx="2">
                  <c:v>1.6761018985820716E-2</c:v>
                </c:pt>
                <c:pt idx="3">
                  <c:v>1.1289369542577907E-2</c:v>
                </c:pt>
                <c:pt idx="4">
                  <c:v>8.5535448209565004E-3</c:v>
                </c:pt>
                <c:pt idx="5">
                  <c:v>6.9120499879836584E-3</c:v>
                </c:pt>
                <c:pt idx="6">
                  <c:v>5.8177200993350959E-3</c:v>
                </c:pt>
                <c:pt idx="7">
                  <c:v>5.0360558931575516E-3</c:v>
                </c:pt>
                <c:pt idx="8">
                  <c:v>4.4498077385243936E-3</c:v>
                </c:pt>
                <c:pt idx="9">
                  <c:v>3.9938369515874926E-3</c:v>
                </c:pt>
                <c:pt idx="10">
                  <c:v>3.6290603220379717E-3</c:v>
                </c:pt>
                <c:pt idx="11">
                  <c:v>3.3306067160429093E-3</c:v>
                </c:pt>
                <c:pt idx="12">
                  <c:v>3.0818953777136909E-3</c:v>
                </c:pt>
                <c:pt idx="13">
                  <c:v>2.8714473222043518E-3</c:v>
                </c:pt>
                <c:pt idx="14">
                  <c:v>2.6910632746249183E-3</c:v>
                </c:pt>
                <c:pt idx="15">
                  <c:v>2.5347304333894097E-3</c:v>
                </c:pt>
                <c:pt idx="16">
                  <c:v>2.3979391973083393E-3</c:v>
                </c:pt>
                <c:pt idx="17">
                  <c:v>2.2772410478250423E-3</c:v>
                </c:pt>
                <c:pt idx="18">
                  <c:v>2.1699538038398888E-3</c:v>
                </c:pt>
                <c:pt idx="19">
                  <c:v>2.0739599539584363E-3</c:v>
                </c:pt>
                <c:pt idx="20">
                  <c:v>1.9875654890651288E-3</c:v>
                </c:pt>
                <c:pt idx="21">
                  <c:v>1.9093990684473743E-3</c:v>
                </c:pt>
                <c:pt idx="22">
                  <c:v>1.8383386860675974E-3</c:v>
                </c:pt>
                <c:pt idx="23">
                  <c:v>1.7734574673730187E-3</c:v>
                </c:pt>
                <c:pt idx="24">
                  <c:v>1.7139830169029882E-3</c:v>
                </c:pt>
                <c:pt idx="25">
                  <c:v>1.65926652247056E-3</c:v>
                </c:pt>
                <c:pt idx="26">
                  <c:v>1.6087589891483187E-3</c:v>
                </c:pt>
                <c:pt idx="27">
                  <c:v>1.5619927545906878E-3</c:v>
                </c:pt>
                <c:pt idx="28">
                  <c:v>1.5185669653586019E-3</c:v>
                </c:pt>
                <c:pt idx="29">
                  <c:v>1.4781360581425222E-3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C8-43E1-9574-41195B0C1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373424"/>
        <c:axId val="493373752"/>
      </c:lineChart>
      <c:catAx>
        <c:axId val="493373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373752"/>
        <c:crosses val="autoZero"/>
        <c:auto val="1"/>
        <c:lblAlgn val="ctr"/>
        <c:lblOffset val="100"/>
        <c:noMultiLvlLbl val="0"/>
      </c:catAx>
      <c:valAx>
        <c:axId val="49337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effectLst/>
                  </a:rPr>
                  <a:t>Cost  per Amp Produced ($/amp)</a:t>
                </a:r>
                <a:endParaRPr lang="en-US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37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 System Cost</a:t>
            </a:r>
            <a:r>
              <a:rPr lang="en-US" baseline="0"/>
              <a:t> Breakdown</a:t>
            </a:r>
            <a:r>
              <a:rPr lang="en-US"/>
              <a:t>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1E-4CCB-AFA5-05AA1C3385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1E-4CCB-AFA5-05AA1C3385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1E-4CCB-AFA5-05AA1C3385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81E-4CCB-AFA5-05AA1C338538}"/>
              </c:ext>
            </c:extLst>
          </c:dPt>
          <c:dPt>
            <c:idx val="4"/>
            <c:bubble3D val="0"/>
            <c:spPr>
              <a:solidFill>
                <a:srgbClr val="F6C1B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81E-4CCB-AFA5-05AA1C3385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 Data &amp; Sensitivy Analysis'!$A$24:$A$28</c:f>
              <c:strCache>
                <c:ptCount val="5"/>
                <c:pt idx="0">
                  <c:v>Setup Equipment Cost</c:v>
                </c:pt>
                <c:pt idx="1">
                  <c:v>Ongoing Equipment Cost</c:v>
                </c:pt>
                <c:pt idx="2">
                  <c:v>Setup Labor Cost</c:v>
                </c:pt>
                <c:pt idx="3">
                  <c:v>Ongoing Maintenace Labor</c:v>
                </c:pt>
                <c:pt idx="4">
                  <c:v>Ongoing Maintenance Supplies</c:v>
                </c:pt>
              </c:strCache>
            </c:strRef>
          </c:cat>
          <c:val>
            <c:numRef>
              <c:f>'Graph Data &amp; Sensitivy Analysis'!$B$24:$B$28</c:f>
              <c:numCache>
                <c:formatCode>General</c:formatCode>
                <c:ptCount val="5"/>
                <c:pt idx="0">
                  <c:v>923</c:v>
                </c:pt>
                <c:pt idx="1">
                  <c:v>0</c:v>
                </c:pt>
                <c:pt idx="2">
                  <c:v>458</c:v>
                </c:pt>
                <c:pt idx="3">
                  <c:v>223.19999999999987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1E-4CCB-AFA5-05AA1C33853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535728214696063E-2"/>
          <c:y val="0.73552740592278065"/>
          <c:w val="0.86222285467328652"/>
          <c:h val="0.234972901441982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Lead-Acid Battery System Cost</a:t>
            </a:r>
            <a:r>
              <a:rPr lang="en-US" baseline="0"/>
              <a:t> Breakdown</a:t>
            </a:r>
            <a:r>
              <a:rPr lang="en-US"/>
              <a:t>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CB-4BB9-A0E5-98E74FA800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CB-4BB9-A0E5-98E74FA800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CB-4BB9-A0E5-98E74FA800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CB-4BB9-A0E5-98E74FA80087}"/>
              </c:ext>
            </c:extLst>
          </c:dPt>
          <c:dPt>
            <c:idx val="4"/>
            <c:bubble3D val="0"/>
            <c:spPr>
              <a:solidFill>
                <a:srgbClr val="F6C1B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FCB-4BB9-A0E5-98E74FA800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 Data &amp; Sensitivy Analysis'!$A$31:$A$35</c:f>
              <c:strCache>
                <c:ptCount val="5"/>
                <c:pt idx="0">
                  <c:v>Setup Equipment Cost</c:v>
                </c:pt>
                <c:pt idx="1">
                  <c:v>Ongoing Equipment Cost</c:v>
                </c:pt>
                <c:pt idx="2">
                  <c:v>Setup Labor Cost</c:v>
                </c:pt>
                <c:pt idx="3">
                  <c:v>Ongoing Maintenace Labor</c:v>
                </c:pt>
                <c:pt idx="4">
                  <c:v>Ongoing Maintenance Supplies</c:v>
                </c:pt>
              </c:strCache>
            </c:strRef>
          </c:cat>
          <c:val>
            <c:numRef>
              <c:f>'Graph Data &amp; Sensitivy Analysis'!$B$31:$B$35</c:f>
              <c:numCache>
                <c:formatCode>General</c:formatCode>
                <c:ptCount val="5"/>
                <c:pt idx="0">
                  <c:v>563</c:v>
                </c:pt>
                <c:pt idx="1">
                  <c:v>5025</c:v>
                </c:pt>
                <c:pt idx="2">
                  <c:v>48</c:v>
                </c:pt>
                <c:pt idx="3">
                  <c:v>8928</c:v>
                </c:pt>
                <c:pt idx="4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CB-4BB9-A0E5-98E74FA8008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Lithium-Ion</a:t>
            </a:r>
            <a:r>
              <a:rPr lang="en-US" baseline="0"/>
              <a:t> Battery System Cost Breakdown ($)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A6-4B34-A3FE-244556F465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A6-4B34-A3FE-244556F465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A6-4B34-A3FE-244556F465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1A6-4B34-A3FE-244556F46507}"/>
              </c:ext>
            </c:extLst>
          </c:dPt>
          <c:dPt>
            <c:idx val="4"/>
            <c:bubble3D val="0"/>
            <c:spPr>
              <a:solidFill>
                <a:srgbClr val="F6C1B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1A6-4B34-A3FE-244556F465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 Data &amp; Sensitivy Analysis'!$A$38:$A$42</c:f>
              <c:strCache>
                <c:ptCount val="5"/>
                <c:pt idx="0">
                  <c:v>Setup Equipment Cost</c:v>
                </c:pt>
                <c:pt idx="1">
                  <c:v>Ongoing Equipment Cost</c:v>
                </c:pt>
                <c:pt idx="2">
                  <c:v>Setup Labor Cost</c:v>
                </c:pt>
                <c:pt idx="3">
                  <c:v>Ongoing Maintenace Labor</c:v>
                </c:pt>
                <c:pt idx="4">
                  <c:v>Ongoing Maintenance Supplies</c:v>
                </c:pt>
              </c:strCache>
            </c:strRef>
          </c:cat>
          <c:val>
            <c:numRef>
              <c:f>'Graph Data &amp; Sensitivy Analysis'!$B$38:$B$42</c:f>
              <c:numCache>
                <c:formatCode>General</c:formatCode>
                <c:ptCount val="5"/>
                <c:pt idx="0">
                  <c:v>2119</c:v>
                </c:pt>
                <c:pt idx="1">
                  <c:v>2097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A6-4B34-A3FE-244556F4650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PHS System</a:t>
            </a:r>
            <a:r>
              <a:rPr lang="en-US" baseline="0"/>
              <a:t> Cost Breakdown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CB-47E6-A231-E3629E006A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CB-47E6-A231-E3629E006A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CB-47E6-A231-E3629E006A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1CB-47E6-A231-E3629E006A89}"/>
              </c:ext>
            </c:extLst>
          </c:dPt>
          <c:dPt>
            <c:idx val="4"/>
            <c:bubble3D val="0"/>
            <c:spPr>
              <a:solidFill>
                <a:srgbClr val="F6C1B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1CB-47E6-A231-E3629E006A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 Data &amp; Sensitivy Analysis'!$A$45:$A$49</c:f>
              <c:strCache>
                <c:ptCount val="5"/>
                <c:pt idx="0">
                  <c:v>Setup Equipment Cost</c:v>
                </c:pt>
                <c:pt idx="1">
                  <c:v>Ongoing Equipment Cost</c:v>
                </c:pt>
                <c:pt idx="2">
                  <c:v>Setup Labor Cost</c:v>
                </c:pt>
                <c:pt idx="3">
                  <c:v>Ongoing Maintenace Labor</c:v>
                </c:pt>
                <c:pt idx="4">
                  <c:v>Ongoing Maintenance Supplies</c:v>
                </c:pt>
              </c:strCache>
            </c:strRef>
          </c:cat>
          <c:val>
            <c:numRef>
              <c:f>'Graph Data &amp; Sensitivy Analysis'!$B$45:$B$49</c:f>
              <c:numCache>
                <c:formatCode>General</c:formatCode>
                <c:ptCount val="5"/>
                <c:pt idx="0">
                  <c:v>6446.26</c:v>
                </c:pt>
                <c:pt idx="1">
                  <c:v>0</c:v>
                </c:pt>
                <c:pt idx="2">
                  <c:v>312</c:v>
                </c:pt>
                <c:pt idx="3">
                  <c:v>2232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CB-47E6-A231-E3629E006A8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13</xdr:col>
      <xdr:colOff>0</xdr:colOff>
      <xdr:row>34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8982C2-AC5E-479D-9AC9-7559D1747C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63</xdr:row>
      <xdr:rowOff>133350</xdr:rowOff>
    </xdr:from>
    <xdr:to>
      <xdr:col>13</xdr:col>
      <xdr:colOff>47625</xdr:colOff>
      <xdr:row>88</xdr:row>
      <xdr:rowOff>9524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7BED41-10F1-42E8-BA5B-50966EA34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88</xdr:row>
      <xdr:rowOff>180975</xdr:rowOff>
    </xdr:from>
    <xdr:to>
      <xdr:col>13</xdr:col>
      <xdr:colOff>9525</xdr:colOff>
      <xdr:row>113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BACD9CA-F2CA-4FBE-808B-421220C00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114</xdr:row>
      <xdr:rowOff>9525</xdr:rowOff>
    </xdr:from>
    <xdr:to>
      <xdr:col>13</xdr:col>
      <xdr:colOff>19050</xdr:colOff>
      <xdr:row>141</xdr:row>
      <xdr:rowOff>180975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AB2C0E3-8BD9-4BCE-9A13-EF09A5F1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12</xdr:col>
      <xdr:colOff>600075</xdr:colOff>
      <xdr:row>63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857C275-958C-46D0-B1E1-D94229A29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19050</xdr:colOff>
      <xdr:row>16</xdr:row>
      <xdr:rowOff>85726</xdr:rowOff>
    </xdr:from>
    <xdr:to>
      <xdr:col>21</xdr:col>
      <xdr:colOff>495300</xdr:colOff>
      <xdr:row>35</xdr:row>
      <xdr:rowOff>152400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A3DC394-931D-45A8-81CD-395F579B9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37</xdr:row>
      <xdr:rowOff>0</xdr:rowOff>
    </xdr:from>
    <xdr:to>
      <xdr:col>21</xdr:col>
      <xdr:colOff>47625</xdr:colOff>
      <xdr:row>54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5E184EE-3B62-4A5A-8DA5-68C87A186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55</xdr:row>
      <xdr:rowOff>0</xdr:rowOff>
    </xdr:from>
    <xdr:to>
      <xdr:col>21</xdr:col>
      <xdr:colOff>142875</xdr:colOff>
      <xdr:row>73</xdr:row>
      <xdr:rowOff>114300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99611CF-2DFB-497F-9E2D-053F59BE7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75</xdr:row>
      <xdr:rowOff>0</xdr:rowOff>
    </xdr:from>
    <xdr:to>
      <xdr:col>21</xdr:col>
      <xdr:colOff>28575</xdr:colOff>
      <xdr:row>94</xdr:row>
      <xdr:rowOff>19050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5AE53C0-CF31-40ED-8028-DA33FE1B1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38101</xdr:colOff>
      <xdr:row>0</xdr:row>
      <xdr:rowOff>1</xdr:rowOff>
    </xdr:from>
    <xdr:to>
      <xdr:col>21</xdr:col>
      <xdr:colOff>495301</xdr:colOff>
      <xdr:row>15</xdr:row>
      <xdr:rowOff>161925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FC8537D-4C1F-40FB-B6EF-47DBF04B7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600074</xdr:colOff>
      <xdr:row>95</xdr:row>
      <xdr:rowOff>9523</xdr:rowOff>
    </xdr:from>
    <xdr:to>
      <xdr:col>26</xdr:col>
      <xdr:colOff>438149</xdr:colOff>
      <xdr:row>127</xdr:row>
      <xdr:rowOff>142874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B6EBCE3D-1032-4944-ADB6-CC8FA07EA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76200</xdr:colOff>
      <xdr:row>128</xdr:row>
      <xdr:rowOff>38099</xdr:rowOff>
    </xdr:from>
    <xdr:to>
      <xdr:col>24</xdr:col>
      <xdr:colOff>590550</xdr:colOff>
      <xdr:row>161</xdr:row>
      <xdr:rowOff>123824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1E7FEC95-6AE9-4144-8979-41ECBC4C6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E8C7F-AC92-43B9-B1AE-48F2651CD354}">
  <sheetPr>
    <pageSetUpPr fitToPage="1"/>
  </sheetPr>
  <dimension ref="A1:AG123"/>
  <sheetViews>
    <sheetView showGridLines="0" tabSelected="1" topLeftCell="A61" zoomScaleNormal="100" workbookViewId="0">
      <selection activeCell="A104" sqref="A104:B104"/>
    </sheetView>
  </sheetViews>
  <sheetFormatPr defaultRowHeight="15" x14ac:dyDescent="0.25"/>
  <cols>
    <col min="1" max="1" width="69.28515625" customWidth="1"/>
    <col min="2" max="2" width="11.28515625" customWidth="1"/>
    <col min="3" max="3" width="13.140625" customWidth="1"/>
    <col min="4" max="4" width="12.5703125" customWidth="1"/>
    <col min="5" max="5" width="12" customWidth="1"/>
    <col min="6" max="6" width="11.5703125" customWidth="1"/>
    <col min="7" max="12" width="10.5703125" bestFit="1" customWidth="1"/>
    <col min="13" max="18" width="11.28515625" customWidth="1"/>
    <col min="19" max="25" width="10.5703125" bestFit="1" customWidth="1"/>
    <col min="26" max="26" width="10.5703125" style="6" bestFit="1" customWidth="1"/>
    <col min="27" max="32" width="10.5703125" bestFit="1" customWidth="1"/>
    <col min="34" max="34" width="37.5703125" customWidth="1"/>
  </cols>
  <sheetData>
    <row r="1" spans="1:33" ht="17.25" x14ac:dyDescent="0.3">
      <c r="A1" s="1"/>
      <c r="B1" s="1">
        <v>2018</v>
      </c>
      <c r="C1" s="1">
        <v>2019</v>
      </c>
      <c r="D1" s="1">
        <v>2020</v>
      </c>
      <c r="E1" s="1">
        <v>2021</v>
      </c>
      <c r="F1" s="1">
        <v>2022</v>
      </c>
      <c r="G1" s="1">
        <v>2023</v>
      </c>
      <c r="H1" s="1">
        <v>2024</v>
      </c>
      <c r="I1" s="1">
        <v>2025</v>
      </c>
      <c r="J1" s="1">
        <v>2026</v>
      </c>
      <c r="K1" s="1">
        <v>2027</v>
      </c>
      <c r="L1" s="1">
        <v>2028</v>
      </c>
      <c r="M1" s="1">
        <v>2029</v>
      </c>
      <c r="N1" s="1">
        <v>2030</v>
      </c>
      <c r="O1" s="1">
        <v>2031</v>
      </c>
      <c r="P1" s="1">
        <v>2032</v>
      </c>
      <c r="Q1" s="1">
        <v>2033</v>
      </c>
      <c r="R1" s="1">
        <v>2034</v>
      </c>
      <c r="S1" s="1">
        <v>2035</v>
      </c>
      <c r="T1" s="1">
        <v>2036</v>
      </c>
      <c r="U1" s="1">
        <v>2037</v>
      </c>
      <c r="V1" s="1">
        <v>2038</v>
      </c>
      <c r="W1" s="1">
        <v>2039</v>
      </c>
      <c r="X1" s="1">
        <v>2040</v>
      </c>
      <c r="Y1" s="1">
        <v>2041</v>
      </c>
      <c r="Z1" s="7">
        <v>2042</v>
      </c>
      <c r="AA1" s="1">
        <v>2043</v>
      </c>
      <c r="AB1" s="1">
        <v>2044</v>
      </c>
      <c r="AC1" s="1">
        <v>2045</v>
      </c>
      <c r="AD1" s="1">
        <v>2046</v>
      </c>
      <c r="AE1" s="1">
        <v>2047</v>
      </c>
      <c r="AF1" s="1">
        <v>2049</v>
      </c>
      <c r="AG1" s="1" t="s">
        <v>0</v>
      </c>
    </row>
    <row r="2" spans="1:33" ht="17.25" x14ac:dyDescent="0.3">
      <c r="A2" s="2" t="s">
        <v>1</v>
      </c>
      <c r="B2" s="1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7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/>
    </row>
    <row r="3" spans="1:33" x14ac:dyDescent="0.25">
      <c r="A3" s="8" t="s">
        <v>78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9"/>
      <c r="AB3" s="9"/>
      <c r="AC3" s="9"/>
      <c r="AD3" s="9"/>
      <c r="AE3" s="9"/>
      <c r="AF3" s="9"/>
      <c r="AG3" s="9"/>
    </row>
    <row r="4" spans="1:33" x14ac:dyDescent="0.25">
      <c r="A4" s="9" t="s">
        <v>16</v>
      </c>
      <c r="B4" s="9">
        <v>200</v>
      </c>
      <c r="C4" s="9">
        <f>(B4)</f>
        <v>200</v>
      </c>
      <c r="D4" s="9">
        <f t="shared" ref="D4:S5" si="0">(C4)</f>
        <v>200</v>
      </c>
      <c r="E4" s="9">
        <f t="shared" si="0"/>
        <v>200</v>
      </c>
      <c r="F4" s="9">
        <f t="shared" si="0"/>
        <v>200</v>
      </c>
      <c r="G4" s="9">
        <f t="shared" si="0"/>
        <v>200</v>
      </c>
      <c r="H4" s="9">
        <f t="shared" si="0"/>
        <v>200</v>
      </c>
      <c r="I4" s="9">
        <f t="shared" si="0"/>
        <v>200</v>
      </c>
      <c r="J4" s="9">
        <f t="shared" si="0"/>
        <v>200</v>
      </c>
      <c r="K4" s="9">
        <f t="shared" si="0"/>
        <v>200</v>
      </c>
      <c r="L4" s="9">
        <f t="shared" si="0"/>
        <v>200</v>
      </c>
      <c r="M4" s="9">
        <f t="shared" si="0"/>
        <v>200</v>
      </c>
      <c r="N4" s="9">
        <f t="shared" si="0"/>
        <v>200</v>
      </c>
      <c r="O4" s="9">
        <f t="shared" si="0"/>
        <v>200</v>
      </c>
      <c r="P4" s="9">
        <f t="shared" si="0"/>
        <v>200</v>
      </c>
      <c r="Q4" s="9">
        <f t="shared" si="0"/>
        <v>200</v>
      </c>
      <c r="R4" s="9">
        <f t="shared" si="0"/>
        <v>200</v>
      </c>
      <c r="S4" s="9">
        <f t="shared" si="0"/>
        <v>200</v>
      </c>
      <c r="T4" s="9">
        <f t="shared" ref="T4:AF5" si="1">(S4)</f>
        <v>200</v>
      </c>
      <c r="U4" s="9">
        <f t="shared" si="1"/>
        <v>200</v>
      </c>
      <c r="V4" s="9">
        <f t="shared" si="1"/>
        <v>200</v>
      </c>
      <c r="W4" s="9">
        <f t="shared" si="1"/>
        <v>200</v>
      </c>
      <c r="X4" s="9">
        <f t="shared" si="1"/>
        <v>200</v>
      </c>
      <c r="Y4" s="9">
        <f t="shared" si="1"/>
        <v>200</v>
      </c>
      <c r="Z4" s="9">
        <f t="shared" si="1"/>
        <v>200</v>
      </c>
      <c r="AA4" s="9">
        <f t="shared" si="1"/>
        <v>200</v>
      </c>
      <c r="AB4" s="9">
        <f t="shared" si="1"/>
        <v>200</v>
      </c>
      <c r="AC4" s="9">
        <f t="shared" si="1"/>
        <v>200</v>
      </c>
      <c r="AD4" s="9">
        <f t="shared" si="1"/>
        <v>200</v>
      </c>
      <c r="AE4" s="9">
        <f t="shared" si="1"/>
        <v>200</v>
      </c>
      <c r="AF4" s="9">
        <f t="shared" si="1"/>
        <v>200</v>
      </c>
      <c r="AG4" s="9"/>
    </row>
    <row r="5" spans="1:33" x14ac:dyDescent="0.25">
      <c r="A5" s="9" t="s">
        <v>47</v>
      </c>
      <c r="B5" s="9">
        <v>5</v>
      </c>
      <c r="C5" s="9">
        <f>(B5)</f>
        <v>5</v>
      </c>
      <c r="D5" s="9">
        <f t="shared" si="0"/>
        <v>5</v>
      </c>
      <c r="E5" s="9">
        <f t="shared" si="0"/>
        <v>5</v>
      </c>
      <c r="F5" s="9">
        <f t="shared" si="0"/>
        <v>5</v>
      </c>
      <c r="G5" s="9">
        <f t="shared" si="0"/>
        <v>5</v>
      </c>
      <c r="H5" s="9">
        <f t="shared" si="0"/>
        <v>5</v>
      </c>
      <c r="I5" s="9">
        <f t="shared" si="0"/>
        <v>5</v>
      </c>
      <c r="J5" s="9">
        <f t="shared" si="0"/>
        <v>5</v>
      </c>
      <c r="K5" s="9">
        <f t="shared" si="0"/>
        <v>5</v>
      </c>
      <c r="L5" s="9">
        <f t="shared" si="0"/>
        <v>5</v>
      </c>
      <c r="M5" s="9">
        <f t="shared" si="0"/>
        <v>5</v>
      </c>
      <c r="N5" s="9">
        <f t="shared" si="0"/>
        <v>5</v>
      </c>
      <c r="O5" s="9">
        <f t="shared" si="0"/>
        <v>5</v>
      </c>
      <c r="P5" s="9">
        <f t="shared" si="0"/>
        <v>5</v>
      </c>
      <c r="Q5" s="9">
        <f t="shared" si="0"/>
        <v>5</v>
      </c>
      <c r="R5" s="9">
        <f t="shared" si="0"/>
        <v>5</v>
      </c>
      <c r="S5" s="9">
        <f t="shared" si="0"/>
        <v>5</v>
      </c>
      <c r="T5" s="9">
        <f t="shared" si="1"/>
        <v>5</v>
      </c>
      <c r="U5" s="9">
        <f t="shared" si="1"/>
        <v>5</v>
      </c>
      <c r="V5" s="9">
        <f t="shared" si="1"/>
        <v>5</v>
      </c>
      <c r="W5" s="9">
        <f t="shared" si="1"/>
        <v>5</v>
      </c>
      <c r="X5" s="9">
        <f t="shared" si="1"/>
        <v>5</v>
      </c>
      <c r="Y5" s="9">
        <f t="shared" si="1"/>
        <v>5</v>
      </c>
      <c r="Z5" s="9">
        <f t="shared" si="1"/>
        <v>5</v>
      </c>
      <c r="AA5" s="9">
        <f t="shared" si="1"/>
        <v>5</v>
      </c>
      <c r="AB5" s="9">
        <f t="shared" si="1"/>
        <v>5</v>
      </c>
      <c r="AC5" s="9">
        <f t="shared" si="1"/>
        <v>5</v>
      </c>
      <c r="AD5" s="9">
        <f t="shared" si="1"/>
        <v>5</v>
      </c>
      <c r="AE5" s="9">
        <f t="shared" si="1"/>
        <v>5</v>
      </c>
      <c r="AF5" s="9">
        <f t="shared" si="1"/>
        <v>5</v>
      </c>
      <c r="AG5" s="9"/>
    </row>
    <row r="6" spans="1:33" x14ac:dyDescent="0.25">
      <c r="A6" s="9" t="s">
        <v>46</v>
      </c>
      <c r="B6" s="9">
        <v>6</v>
      </c>
      <c r="C6" s="9">
        <v>6</v>
      </c>
      <c r="D6" s="9">
        <v>6</v>
      </c>
      <c r="E6" s="9">
        <v>6</v>
      </c>
      <c r="F6" s="9">
        <v>6</v>
      </c>
      <c r="G6" s="9">
        <v>6</v>
      </c>
      <c r="H6" s="9">
        <v>6</v>
      </c>
      <c r="I6" s="9">
        <v>6</v>
      </c>
      <c r="J6" s="9">
        <v>6</v>
      </c>
      <c r="K6" s="9">
        <v>6</v>
      </c>
      <c r="L6" s="9">
        <v>6</v>
      </c>
      <c r="M6" s="9">
        <v>6</v>
      </c>
      <c r="N6" s="9">
        <v>6</v>
      </c>
      <c r="O6" s="9">
        <v>6</v>
      </c>
      <c r="P6" s="9">
        <v>6</v>
      </c>
      <c r="Q6" s="9">
        <v>6</v>
      </c>
      <c r="R6" s="9">
        <v>6</v>
      </c>
      <c r="S6" s="9">
        <v>6</v>
      </c>
      <c r="T6" s="9">
        <v>6</v>
      </c>
      <c r="U6" s="9">
        <v>6</v>
      </c>
      <c r="V6" s="9">
        <v>6</v>
      </c>
      <c r="W6" s="9">
        <v>6</v>
      </c>
      <c r="X6" s="9">
        <v>6</v>
      </c>
      <c r="Y6" s="9">
        <v>6</v>
      </c>
      <c r="Z6" s="9">
        <v>6</v>
      </c>
      <c r="AA6" s="9">
        <v>6</v>
      </c>
      <c r="AB6" s="9">
        <v>6</v>
      </c>
      <c r="AC6" s="9">
        <v>6</v>
      </c>
      <c r="AD6" s="9">
        <v>6</v>
      </c>
      <c r="AE6" s="9">
        <v>6</v>
      </c>
      <c r="AF6" s="9">
        <v>6</v>
      </c>
      <c r="AG6" s="9"/>
    </row>
    <row r="7" spans="1:33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x14ac:dyDescent="0.25">
      <c r="A8" s="8" t="s">
        <v>59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  <c r="AA8" s="9"/>
      <c r="AB8" s="9"/>
      <c r="AC8" s="9"/>
      <c r="AD8" s="9"/>
      <c r="AE8" s="9"/>
      <c r="AF8" s="9"/>
      <c r="AG8" s="9"/>
    </row>
    <row r="9" spans="1:33" x14ac:dyDescent="0.25">
      <c r="A9" s="9" t="s">
        <v>17</v>
      </c>
      <c r="B9" s="11">
        <f>ROUNDUP(SUM(B4/(6*B5)),0)</f>
        <v>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/>
    </row>
    <row r="10" spans="1:33" x14ac:dyDescent="0.25">
      <c r="A10" s="9" t="s">
        <v>15</v>
      </c>
      <c r="B10" s="12">
        <v>110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12"/>
    </row>
    <row r="11" spans="1:33" x14ac:dyDescent="0.25">
      <c r="A11" s="9" t="s">
        <v>18</v>
      </c>
      <c r="B11" s="12">
        <f>SUM(B9*B10)</f>
        <v>770</v>
      </c>
      <c r="C11" s="13">
        <f t="shared" ref="C11:AF11" si="2">SUM(C9*C10)</f>
        <v>0</v>
      </c>
      <c r="D11" s="13">
        <f t="shared" si="2"/>
        <v>0</v>
      </c>
      <c r="E11" s="13">
        <f t="shared" si="2"/>
        <v>0</v>
      </c>
      <c r="F11" s="13">
        <f t="shared" si="2"/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13">
        <f t="shared" si="2"/>
        <v>0</v>
      </c>
      <c r="S11" s="13">
        <f t="shared" si="2"/>
        <v>0</v>
      </c>
      <c r="T11" s="13">
        <f t="shared" si="2"/>
        <v>0</v>
      </c>
      <c r="U11" s="13">
        <f t="shared" si="2"/>
        <v>0</v>
      </c>
      <c r="V11" s="13">
        <f t="shared" si="2"/>
        <v>0</v>
      </c>
      <c r="W11" s="13">
        <f t="shared" si="2"/>
        <v>0</v>
      </c>
      <c r="X11" s="13">
        <f t="shared" si="2"/>
        <v>0</v>
      </c>
      <c r="Y11" s="13">
        <f t="shared" si="2"/>
        <v>0</v>
      </c>
      <c r="Z11" s="13">
        <f t="shared" si="2"/>
        <v>0</v>
      </c>
      <c r="AA11" s="13">
        <f t="shared" si="2"/>
        <v>0</v>
      </c>
      <c r="AB11" s="13">
        <f t="shared" si="2"/>
        <v>0</v>
      </c>
      <c r="AC11" s="13">
        <f t="shared" si="2"/>
        <v>0</v>
      </c>
      <c r="AD11" s="13">
        <f t="shared" si="2"/>
        <v>0</v>
      </c>
      <c r="AE11" s="13">
        <f t="shared" si="2"/>
        <v>0</v>
      </c>
      <c r="AF11" s="13">
        <f t="shared" si="2"/>
        <v>0</v>
      </c>
      <c r="AG11" s="12">
        <f t="shared" ref="AG11:AG12" si="3">SUM(B11:AF11)</f>
        <v>770</v>
      </c>
    </row>
    <row r="12" spans="1:33" x14ac:dyDescent="0.25">
      <c r="A12" s="9" t="s">
        <v>76</v>
      </c>
      <c r="B12" s="12">
        <v>135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2">
        <f t="shared" si="3"/>
        <v>135</v>
      </c>
    </row>
    <row r="13" spans="1:33" x14ac:dyDescent="0.25">
      <c r="A13" s="9" t="s">
        <v>19</v>
      </c>
      <c r="B13" s="9">
        <f>B9*6</f>
        <v>42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/>
    </row>
    <row r="14" spans="1:33" x14ac:dyDescent="0.25">
      <c r="A14" s="9" t="s">
        <v>20</v>
      </c>
      <c r="B14" s="12">
        <f>B13*0.3</f>
        <v>12.6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12">
        <f>SUM(B14:AF14)</f>
        <v>12.6</v>
      </c>
    </row>
    <row r="15" spans="1:33" x14ac:dyDescent="0.25">
      <c r="A15" s="9" t="s">
        <v>131</v>
      </c>
      <c r="B15" s="12">
        <f>SUM(6*12)</f>
        <v>72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12">
        <f>SUM(B15:AF15)</f>
        <v>72</v>
      </c>
    </row>
    <row r="16" spans="1:33" x14ac:dyDescent="0.25">
      <c r="A16" s="9" t="s">
        <v>21</v>
      </c>
      <c r="B16" s="12">
        <f>(0.15*12*12)</f>
        <v>21.599999999999998</v>
      </c>
      <c r="C16" s="12">
        <f>(B16)</f>
        <v>21.599999999999998</v>
      </c>
      <c r="D16" s="12">
        <f t="shared" ref="D16:S18" si="4">(C16)</f>
        <v>21.599999999999998</v>
      </c>
      <c r="E16" s="12">
        <f t="shared" si="4"/>
        <v>21.599999999999998</v>
      </c>
      <c r="F16" s="12">
        <f t="shared" si="4"/>
        <v>21.599999999999998</v>
      </c>
      <c r="G16" s="12">
        <f t="shared" si="4"/>
        <v>21.599999999999998</v>
      </c>
      <c r="H16" s="12">
        <f t="shared" si="4"/>
        <v>21.599999999999998</v>
      </c>
      <c r="I16" s="12">
        <f t="shared" si="4"/>
        <v>21.599999999999998</v>
      </c>
      <c r="J16" s="12">
        <f t="shared" si="4"/>
        <v>21.599999999999998</v>
      </c>
      <c r="K16" s="12">
        <f t="shared" si="4"/>
        <v>21.599999999999998</v>
      </c>
      <c r="L16" s="12">
        <f t="shared" si="4"/>
        <v>21.599999999999998</v>
      </c>
      <c r="M16" s="12">
        <f t="shared" si="4"/>
        <v>21.599999999999998</v>
      </c>
      <c r="N16" s="12">
        <f t="shared" si="4"/>
        <v>21.599999999999998</v>
      </c>
      <c r="O16" s="12">
        <f t="shared" si="4"/>
        <v>21.599999999999998</v>
      </c>
      <c r="P16" s="12">
        <f t="shared" si="4"/>
        <v>21.599999999999998</v>
      </c>
      <c r="Q16" s="12">
        <f t="shared" si="4"/>
        <v>21.599999999999998</v>
      </c>
      <c r="R16" s="12">
        <f t="shared" si="4"/>
        <v>21.599999999999998</v>
      </c>
      <c r="S16" s="12">
        <f t="shared" si="4"/>
        <v>21.599999999999998</v>
      </c>
      <c r="T16" s="12">
        <f t="shared" ref="T16:AF18" si="5">(S16)</f>
        <v>21.599999999999998</v>
      </c>
      <c r="U16" s="12">
        <f t="shared" si="5"/>
        <v>21.599999999999998</v>
      </c>
      <c r="V16" s="12">
        <f t="shared" si="5"/>
        <v>21.599999999999998</v>
      </c>
      <c r="W16" s="12">
        <f t="shared" si="5"/>
        <v>21.599999999999998</v>
      </c>
      <c r="X16" s="12">
        <f t="shared" si="5"/>
        <v>21.599999999999998</v>
      </c>
      <c r="Y16" s="12">
        <f t="shared" si="5"/>
        <v>21.599999999999998</v>
      </c>
      <c r="Z16" s="12">
        <f t="shared" si="5"/>
        <v>21.599999999999998</v>
      </c>
      <c r="AA16" s="12">
        <f t="shared" si="5"/>
        <v>21.599999999999998</v>
      </c>
      <c r="AB16" s="12">
        <f t="shared" si="5"/>
        <v>21.599999999999998</v>
      </c>
      <c r="AC16" s="12">
        <f t="shared" si="5"/>
        <v>21.599999999999998</v>
      </c>
      <c r="AD16" s="12">
        <f t="shared" si="5"/>
        <v>21.599999999999998</v>
      </c>
      <c r="AE16" s="12">
        <f t="shared" si="5"/>
        <v>21.599999999999998</v>
      </c>
      <c r="AF16" s="12">
        <f t="shared" si="5"/>
        <v>21.599999999999998</v>
      </c>
      <c r="AG16" s="12">
        <f t="shared" ref="AG16" si="6">SUM(B16:AF16)</f>
        <v>669.60000000000036</v>
      </c>
    </row>
    <row r="17" spans="1:33" x14ac:dyDescent="0.25">
      <c r="A17" s="9" t="s">
        <v>48</v>
      </c>
      <c r="B17" s="13">
        <f>(B9*6.1)</f>
        <v>42.699999999999996</v>
      </c>
      <c r="C17" s="13">
        <f>(B17)</f>
        <v>42.699999999999996</v>
      </c>
      <c r="D17" s="13">
        <f t="shared" si="4"/>
        <v>42.699999999999996</v>
      </c>
      <c r="E17" s="13">
        <f t="shared" si="4"/>
        <v>42.699999999999996</v>
      </c>
      <c r="F17" s="13">
        <f t="shared" si="4"/>
        <v>42.699999999999996</v>
      </c>
      <c r="G17" s="13">
        <f t="shared" si="4"/>
        <v>42.699999999999996</v>
      </c>
      <c r="H17" s="13">
        <f t="shared" si="4"/>
        <v>42.699999999999996</v>
      </c>
      <c r="I17" s="13">
        <f t="shared" si="4"/>
        <v>42.699999999999996</v>
      </c>
      <c r="J17" s="13">
        <f t="shared" si="4"/>
        <v>42.699999999999996</v>
      </c>
      <c r="K17" s="13">
        <f t="shared" si="4"/>
        <v>42.699999999999996</v>
      </c>
      <c r="L17" s="13">
        <f t="shared" si="4"/>
        <v>42.699999999999996</v>
      </c>
      <c r="M17" s="13">
        <f t="shared" si="4"/>
        <v>42.699999999999996</v>
      </c>
      <c r="N17" s="13">
        <f t="shared" si="4"/>
        <v>42.699999999999996</v>
      </c>
      <c r="O17" s="13">
        <f t="shared" si="4"/>
        <v>42.699999999999996</v>
      </c>
      <c r="P17" s="13">
        <f t="shared" si="4"/>
        <v>42.699999999999996</v>
      </c>
      <c r="Q17" s="13">
        <f t="shared" si="4"/>
        <v>42.699999999999996</v>
      </c>
      <c r="R17" s="13">
        <f t="shared" si="4"/>
        <v>42.699999999999996</v>
      </c>
      <c r="S17" s="13">
        <f t="shared" si="4"/>
        <v>42.699999999999996</v>
      </c>
      <c r="T17" s="13">
        <f t="shared" si="5"/>
        <v>42.699999999999996</v>
      </c>
      <c r="U17" s="13">
        <f t="shared" si="5"/>
        <v>42.699999999999996</v>
      </c>
      <c r="V17" s="13">
        <f t="shared" si="5"/>
        <v>42.699999999999996</v>
      </c>
      <c r="W17" s="13">
        <f t="shared" si="5"/>
        <v>42.699999999999996</v>
      </c>
      <c r="X17" s="13">
        <f t="shared" si="5"/>
        <v>42.699999999999996</v>
      </c>
      <c r="Y17" s="13">
        <f t="shared" si="5"/>
        <v>42.699999999999996</v>
      </c>
      <c r="Z17" s="13">
        <f t="shared" si="5"/>
        <v>42.699999999999996</v>
      </c>
      <c r="AA17" s="13">
        <f t="shared" si="5"/>
        <v>42.699999999999996</v>
      </c>
      <c r="AB17" s="13">
        <f t="shared" si="5"/>
        <v>42.699999999999996</v>
      </c>
      <c r="AC17" s="13">
        <f t="shared" si="5"/>
        <v>42.699999999999996</v>
      </c>
      <c r="AD17" s="13">
        <f t="shared" si="5"/>
        <v>42.699999999999996</v>
      </c>
      <c r="AE17" s="13">
        <f t="shared" si="5"/>
        <v>42.699999999999996</v>
      </c>
      <c r="AF17" s="13">
        <f t="shared" si="5"/>
        <v>42.699999999999996</v>
      </c>
      <c r="AG17" s="12"/>
    </row>
    <row r="18" spans="1:33" x14ac:dyDescent="0.25">
      <c r="A18" s="9" t="s">
        <v>106</v>
      </c>
      <c r="B18" s="13">
        <f>(B17*B5)</f>
        <v>213.49999999999997</v>
      </c>
      <c r="C18" s="13">
        <f>(B18)</f>
        <v>213.49999999999997</v>
      </c>
      <c r="D18" s="13">
        <f t="shared" si="4"/>
        <v>213.49999999999997</v>
      </c>
      <c r="E18" s="13">
        <f t="shared" si="4"/>
        <v>213.49999999999997</v>
      </c>
      <c r="F18" s="13">
        <f t="shared" si="4"/>
        <v>213.49999999999997</v>
      </c>
      <c r="G18" s="13">
        <f t="shared" si="4"/>
        <v>213.49999999999997</v>
      </c>
      <c r="H18" s="13">
        <f t="shared" si="4"/>
        <v>213.49999999999997</v>
      </c>
      <c r="I18" s="13">
        <f t="shared" si="4"/>
        <v>213.49999999999997</v>
      </c>
      <c r="J18" s="13">
        <f t="shared" si="4"/>
        <v>213.49999999999997</v>
      </c>
      <c r="K18" s="13">
        <f t="shared" si="4"/>
        <v>213.49999999999997</v>
      </c>
      <c r="L18" s="13">
        <f t="shared" si="4"/>
        <v>213.49999999999997</v>
      </c>
      <c r="M18" s="13">
        <f t="shared" si="4"/>
        <v>213.49999999999997</v>
      </c>
      <c r="N18" s="13">
        <f t="shared" si="4"/>
        <v>213.49999999999997</v>
      </c>
      <c r="O18" s="13">
        <f t="shared" si="4"/>
        <v>213.49999999999997</v>
      </c>
      <c r="P18" s="13">
        <f t="shared" si="4"/>
        <v>213.49999999999997</v>
      </c>
      <c r="Q18" s="13">
        <f t="shared" si="4"/>
        <v>213.49999999999997</v>
      </c>
      <c r="R18" s="13">
        <f t="shared" si="4"/>
        <v>213.49999999999997</v>
      </c>
      <c r="S18" s="13">
        <f t="shared" si="4"/>
        <v>213.49999999999997</v>
      </c>
      <c r="T18" s="13">
        <f t="shared" si="5"/>
        <v>213.49999999999997</v>
      </c>
      <c r="U18" s="13">
        <f t="shared" si="5"/>
        <v>213.49999999999997</v>
      </c>
      <c r="V18" s="13">
        <f t="shared" si="5"/>
        <v>213.49999999999997</v>
      </c>
      <c r="W18" s="13">
        <f t="shared" si="5"/>
        <v>213.49999999999997</v>
      </c>
      <c r="X18" s="13">
        <f t="shared" si="5"/>
        <v>213.49999999999997</v>
      </c>
      <c r="Y18" s="13">
        <f t="shared" si="5"/>
        <v>213.49999999999997</v>
      </c>
      <c r="Z18" s="13">
        <f t="shared" si="5"/>
        <v>213.49999999999997</v>
      </c>
      <c r="AA18" s="13">
        <f t="shared" si="5"/>
        <v>213.49999999999997</v>
      </c>
      <c r="AB18" s="13">
        <f t="shared" si="5"/>
        <v>213.49999999999997</v>
      </c>
      <c r="AC18" s="13">
        <f t="shared" si="5"/>
        <v>213.49999999999997</v>
      </c>
      <c r="AD18" s="13">
        <f t="shared" si="5"/>
        <v>213.49999999999997</v>
      </c>
      <c r="AE18" s="13">
        <f t="shared" si="5"/>
        <v>213.49999999999997</v>
      </c>
      <c r="AF18" s="13">
        <f t="shared" si="5"/>
        <v>213.49999999999997</v>
      </c>
      <c r="AG18" s="9"/>
    </row>
    <row r="19" spans="1:33" x14ac:dyDescent="0.25">
      <c r="A19" s="9" t="s">
        <v>107</v>
      </c>
      <c r="B19" s="13">
        <f>SUM(B18*365)</f>
        <v>77927.499999999985</v>
      </c>
      <c r="C19" s="13">
        <f>($B$19*C2)</f>
        <v>77927.499999999985</v>
      </c>
      <c r="D19" s="13">
        <f t="shared" ref="D19:AF19" si="7">($B$19*D2)</f>
        <v>155854.99999999997</v>
      </c>
      <c r="E19" s="13">
        <f t="shared" si="7"/>
        <v>233782.49999999994</v>
      </c>
      <c r="F19" s="13">
        <f t="shared" si="7"/>
        <v>311709.99999999994</v>
      </c>
      <c r="G19" s="13">
        <f t="shared" si="7"/>
        <v>389637.49999999994</v>
      </c>
      <c r="H19" s="13">
        <f t="shared" si="7"/>
        <v>467564.99999999988</v>
      </c>
      <c r="I19" s="13">
        <f t="shared" si="7"/>
        <v>545492.49999999988</v>
      </c>
      <c r="J19" s="13">
        <f t="shared" si="7"/>
        <v>623419.99999999988</v>
      </c>
      <c r="K19" s="13">
        <f t="shared" si="7"/>
        <v>701347.49999999988</v>
      </c>
      <c r="L19" s="13">
        <f t="shared" si="7"/>
        <v>779274.99999999988</v>
      </c>
      <c r="M19" s="13">
        <f t="shared" si="7"/>
        <v>857202.49999999988</v>
      </c>
      <c r="N19" s="13">
        <f t="shared" si="7"/>
        <v>935129.99999999977</v>
      </c>
      <c r="O19" s="13">
        <f t="shared" si="7"/>
        <v>1013057.4999999998</v>
      </c>
      <c r="P19" s="13">
        <f t="shared" si="7"/>
        <v>1090984.9999999998</v>
      </c>
      <c r="Q19" s="13">
        <f t="shared" si="7"/>
        <v>1168912.4999999998</v>
      </c>
      <c r="R19" s="13">
        <f t="shared" si="7"/>
        <v>1246839.9999999998</v>
      </c>
      <c r="S19" s="13">
        <f t="shared" si="7"/>
        <v>1324767.4999999998</v>
      </c>
      <c r="T19" s="13">
        <f t="shared" si="7"/>
        <v>1402694.9999999998</v>
      </c>
      <c r="U19" s="13">
        <f t="shared" si="7"/>
        <v>1480622.4999999998</v>
      </c>
      <c r="V19" s="13">
        <f t="shared" si="7"/>
        <v>1558549.9999999998</v>
      </c>
      <c r="W19" s="13">
        <f t="shared" si="7"/>
        <v>1636477.4999999998</v>
      </c>
      <c r="X19" s="13">
        <f t="shared" si="7"/>
        <v>1714404.9999999998</v>
      </c>
      <c r="Y19" s="13">
        <f t="shared" si="7"/>
        <v>1792332.4999999998</v>
      </c>
      <c r="Z19" s="13">
        <f t="shared" si="7"/>
        <v>1870259.9999999995</v>
      </c>
      <c r="AA19" s="13">
        <f t="shared" si="7"/>
        <v>1948187.4999999995</v>
      </c>
      <c r="AB19" s="13">
        <f t="shared" si="7"/>
        <v>2026114.9999999995</v>
      </c>
      <c r="AC19" s="13">
        <f t="shared" si="7"/>
        <v>2104042.4999999995</v>
      </c>
      <c r="AD19" s="13">
        <f t="shared" si="7"/>
        <v>2181969.9999999995</v>
      </c>
      <c r="AE19" s="13">
        <f t="shared" si="7"/>
        <v>2259897.4999999995</v>
      </c>
      <c r="AF19" s="13">
        <f t="shared" si="7"/>
        <v>2337824.9999999995</v>
      </c>
      <c r="AG19" s="9"/>
    </row>
    <row r="20" spans="1:33" x14ac:dyDescent="0.25">
      <c r="A20" s="9" t="s">
        <v>89</v>
      </c>
      <c r="B20" s="12">
        <f>SUM(B11+B12+B14+B16)</f>
        <v>939.2</v>
      </c>
      <c r="C20" s="12">
        <f t="shared" ref="C20:AF20" si="8">SUM(C10+C11+C12+C14+C16)</f>
        <v>21.599999999999998</v>
      </c>
      <c r="D20" s="12">
        <f t="shared" si="8"/>
        <v>21.599999999999998</v>
      </c>
      <c r="E20" s="12">
        <f t="shared" si="8"/>
        <v>21.599999999999998</v>
      </c>
      <c r="F20" s="12">
        <f t="shared" si="8"/>
        <v>21.599999999999998</v>
      </c>
      <c r="G20" s="12">
        <f t="shared" si="8"/>
        <v>21.599999999999998</v>
      </c>
      <c r="H20" s="12">
        <f t="shared" si="8"/>
        <v>21.599999999999998</v>
      </c>
      <c r="I20" s="12">
        <f t="shared" si="8"/>
        <v>21.599999999999998</v>
      </c>
      <c r="J20" s="12">
        <f t="shared" si="8"/>
        <v>21.599999999999998</v>
      </c>
      <c r="K20" s="12">
        <f t="shared" si="8"/>
        <v>21.599999999999998</v>
      </c>
      <c r="L20" s="12">
        <f t="shared" si="8"/>
        <v>21.599999999999998</v>
      </c>
      <c r="M20" s="12">
        <f t="shared" si="8"/>
        <v>21.599999999999998</v>
      </c>
      <c r="N20" s="12">
        <f t="shared" si="8"/>
        <v>21.599999999999998</v>
      </c>
      <c r="O20" s="12">
        <f t="shared" si="8"/>
        <v>21.599999999999998</v>
      </c>
      <c r="P20" s="12">
        <f t="shared" si="8"/>
        <v>21.599999999999998</v>
      </c>
      <c r="Q20" s="12">
        <f t="shared" si="8"/>
        <v>21.599999999999998</v>
      </c>
      <c r="R20" s="12">
        <f t="shared" si="8"/>
        <v>21.599999999999998</v>
      </c>
      <c r="S20" s="12">
        <f t="shared" si="8"/>
        <v>21.599999999999998</v>
      </c>
      <c r="T20" s="12">
        <f t="shared" si="8"/>
        <v>21.599999999999998</v>
      </c>
      <c r="U20" s="12">
        <f t="shared" si="8"/>
        <v>21.599999999999998</v>
      </c>
      <c r="V20" s="12">
        <f t="shared" si="8"/>
        <v>21.599999999999998</v>
      </c>
      <c r="W20" s="12">
        <f t="shared" si="8"/>
        <v>21.599999999999998</v>
      </c>
      <c r="X20" s="12">
        <f t="shared" si="8"/>
        <v>21.599999999999998</v>
      </c>
      <c r="Y20" s="12">
        <f t="shared" si="8"/>
        <v>21.599999999999998</v>
      </c>
      <c r="Z20" s="12">
        <f t="shared" si="8"/>
        <v>21.599999999999998</v>
      </c>
      <c r="AA20" s="12">
        <f t="shared" si="8"/>
        <v>21.599999999999998</v>
      </c>
      <c r="AB20" s="12">
        <f t="shared" si="8"/>
        <v>21.599999999999998</v>
      </c>
      <c r="AC20" s="12">
        <f t="shared" si="8"/>
        <v>21.599999999999998</v>
      </c>
      <c r="AD20" s="12">
        <f t="shared" si="8"/>
        <v>21.599999999999998</v>
      </c>
      <c r="AE20" s="12">
        <f t="shared" si="8"/>
        <v>21.599999999999998</v>
      </c>
      <c r="AF20" s="12">
        <f t="shared" si="8"/>
        <v>21.599999999999998</v>
      </c>
      <c r="AG20" s="9"/>
    </row>
    <row r="21" spans="1:33" x14ac:dyDescent="0.25">
      <c r="A21" s="9" t="s">
        <v>117</v>
      </c>
      <c r="B21" s="12">
        <f>B20</f>
        <v>939.2</v>
      </c>
      <c r="C21" s="12">
        <f>B21+C20</f>
        <v>960.80000000000007</v>
      </c>
      <c r="D21" s="12">
        <f t="shared" ref="D21:AF21" si="9">C21+D20</f>
        <v>982.40000000000009</v>
      </c>
      <c r="E21" s="12">
        <f t="shared" si="9"/>
        <v>1004.0000000000001</v>
      </c>
      <c r="F21" s="12">
        <f t="shared" si="9"/>
        <v>1025.6000000000001</v>
      </c>
      <c r="G21" s="12">
        <f t="shared" si="9"/>
        <v>1047.2</v>
      </c>
      <c r="H21" s="12">
        <f t="shared" si="9"/>
        <v>1068.8</v>
      </c>
      <c r="I21" s="12">
        <f t="shared" si="9"/>
        <v>1090.3999999999999</v>
      </c>
      <c r="J21" s="12">
        <f t="shared" si="9"/>
        <v>1111.9999999999998</v>
      </c>
      <c r="K21" s="12">
        <f t="shared" si="9"/>
        <v>1133.5999999999997</v>
      </c>
      <c r="L21" s="12">
        <f t="shared" si="9"/>
        <v>1155.1999999999996</v>
      </c>
      <c r="M21" s="12">
        <f t="shared" si="9"/>
        <v>1176.7999999999995</v>
      </c>
      <c r="N21" s="12">
        <f t="shared" si="9"/>
        <v>1198.3999999999994</v>
      </c>
      <c r="O21" s="12">
        <f t="shared" si="9"/>
        <v>1219.9999999999993</v>
      </c>
      <c r="P21" s="12">
        <f t="shared" si="9"/>
        <v>1241.5999999999992</v>
      </c>
      <c r="Q21" s="12">
        <f t="shared" si="9"/>
        <v>1263.1999999999991</v>
      </c>
      <c r="R21" s="12">
        <f t="shared" si="9"/>
        <v>1284.799999999999</v>
      </c>
      <c r="S21" s="12">
        <f t="shared" si="9"/>
        <v>1306.399999999999</v>
      </c>
      <c r="T21" s="12">
        <f t="shared" si="9"/>
        <v>1327.9999999999989</v>
      </c>
      <c r="U21" s="12">
        <f t="shared" si="9"/>
        <v>1349.5999999999988</v>
      </c>
      <c r="V21" s="12">
        <f t="shared" si="9"/>
        <v>1371.1999999999987</v>
      </c>
      <c r="W21" s="12">
        <f t="shared" si="9"/>
        <v>1392.7999999999986</v>
      </c>
      <c r="X21" s="12">
        <f t="shared" si="9"/>
        <v>1414.3999999999985</v>
      </c>
      <c r="Y21" s="12">
        <f t="shared" si="9"/>
        <v>1435.9999999999984</v>
      </c>
      <c r="Z21" s="12">
        <f t="shared" si="9"/>
        <v>1457.5999999999983</v>
      </c>
      <c r="AA21" s="12">
        <f t="shared" si="9"/>
        <v>1479.1999999999982</v>
      </c>
      <c r="AB21" s="12">
        <f t="shared" si="9"/>
        <v>1500.7999999999981</v>
      </c>
      <c r="AC21" s="12">
        <f t="shared" si="9"/>
        <v>1522.399999999998</v>
      </c>
      <c r="AD21" s="12">
        <f t="shared" si="9"/>
        <v>1543.999999999998</v>
      </c>
      <c r="AE21" s="12">
        <f t="shared" si="9"/>
        <v>1565.5999999999979</v>
      </c>
      <c r="AF21" s="12">
        <f t="shared" si="9"/>
        <v>1587.1999999999978</v>
      </c>
      <c r="AG21" s="9"/>
    </row>
    <row r="22" spans="1:33" x14ac:dyDescent="0.25">
      <c r="A22" s="9" t="s">
        <v>87</v>
      </c>
      <c r="B22" s="12">
        <f>SUM(AG10:AG16)</f>
        <v>1659.2000000000003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>
        <f>SUM(AG11:AG16)</f>
        <v>1659.2000000000003</v>
      </c>
    </row>
    <row r="23" spans="1:33" x14ac:dyDescent="0.25">
      <c r="A23" s="9" t="s">
        <v>118</v>
      </c>
      <c r="B23" s="12">
        <f>B20</f>
        <v>939.2</v>
      </c>
      <c r="C23" s="12">
        <f>SUM(C21/C2)</f>
        <v>960.80000000000007</v>
      </c>
      <c r="D23" s="12">
        <f t="shared" ref="D23:AF23" si="10">SUM(D21/D2)</f>
        <v>491.20000000000005</v>
      </c>
      <c r="E23" s="12">
        <f t="shared" si="10"/>
        <v>334.66666666666669</v>
      </c>
      <c r="F23" s="12">
        <f t="shared" si="10"/>
        <v>256.40000000000003</v>
      </c>
      <c r="G23" s="12">
        <f t="shared" si="10"/>
        <v>209.44</v>
      </c>
      <c r="H23" s="12">
        <f t="shared" si="10"/>
        <v>178.13333333333333</v>
      </c>
      <c r="I23" s="12">
        <f t="shared" si="10"/>
        <v>155.77142857142854</v>
      </c>
      <c r="J23" s="12">
        <f t="shared" si="10"/>
        <v>138.99999999999997</v>
      </c>
      <c r="K23" s="12">
        <f t="shared" si="10"/>
        <v>125.95555555555552</v>
      </c>
      <c r="L23" s="12">
        <f t="shared" si="10"/>
        <v>115.51999999999995</v>
      </c>
      <c r="M23" s="12">
        <f t="shared" si="10"/>
        <v>106.98181818181814</v>
      </c>
      <c r="N23" s="12">
        <f t="shared" si="10"/>
        <v>99.866666666666617</v>
      </c>
      <c r="O23" s="12">
        <f t="shared" si="10"/>
        <v>93.846153846153797</v>
      </c>
      <c r="P23" s="12">
        <f t="shared" si="10"/>
        <v>88.685714285714226</v>
      </c>
      <c r="Q23" s="12">
        <f t="shared" si="10"/>
        <v>84.213333333333281</v>
      </c>
      <c r="R23" s="12">
        <f t="shared" si="10"/>
        <v>80.29999999999994</v>
      </c>
      <c r="S23" s="12">
        <f t="shared" si="10"/>
        <v>76.847058823529352</v>
      </c>
      <c r="T23" s="12">
        <f t="shared" si="10"/>
        <v>73.777777777777715</v>
      </c>
      <c r="U23" s="12">
        <f t="shared" si="10"/>
        <v>71.031578947368359</v>
      </c>
      <c r="V23" s="12">
        <f t="shared" si="10"/>
        <v>68.559999999999931</v>
      </c>
      <c r="W23" s="12">
        <f t="shared" si="10"/>
        <v>66.323809523809459</v>
      </c>
      <c r="X23" s="12">
        <f t="shared" si="10"/>
        <v>64.290909090909025</v>
      </c>
      <c r="Y23" s="12">
        <f t="shared" si="10"/>
        <v>62.434782608695585</v>
      </c>
      <c r="Z23" s="12">
        <f t="shared" si="10"/>
        <v>60.733333333333263</v>
      </c>
      <c r="AA23" s="12">
        <f t="shared" si="10"/>
        <v>59.167999999999928</v>
      </c>
      <c r="AB23" s="12">
        <f t="shared" si="10"/>
        <v>57.723076923076853</v>
      </c>
      <c r="AC23" s="12">
        <f t="shared" si="10"/>
        <v>56.385185185185115</v>
      </c>
      <c r="AD23" s="12">
        <f t="shared" si="10"/>
        <v>55.142857142857068</v>
      </c>
      <c r="AE23" s="12">
        <f t="shared" si="10"/>
        <v>53.98620689655165</v>
      </c>
      <c r="AF23" s="12">
        <f t="shared" si="10"/>
        <v>52.906666666666595</v>
      </c>
      <c r="AG23" s="12"/>
    </row>
    <row r="24" spans="1:33" s="69" customFormat="1" x14ac:dyDescent="0.25">
      <c r="A24" s="68" t="s">
        <v>108</v>
      </c>
      <c r="B24" s="68">
        <f>(B21/B19)</f>
        <v>1.2052228032466077E-2</v>
      </c>
      <c r="C24" s="68">
        <f t="shared" ref="C24:AF24" si="11">(C21/C19)</f>
        <v>1.2329408745308142E-2</v>
      </c>
      <c r="D24" s="68">
        <f t="shared" si="11"/>
        <v>6.3032947290751033E-3</v>
      </c>
      <c r="E24" s="68">
        <f t="shared" si="11"/>
        <v>4.2945900569974242E-3</v>
      </c>
      <c r="F24" s="68">
        <f t="shared" si="11"/>
        <v>3.2902377209585842E-3</v>
      </c>
      <c r="G24" s="68">
        <f t="shared" si="11"/>
        <v>2.6876263193352803E-3</v>
      </c>
      <c r="H24" s="68">
        <f t="shared" si="11"/>
        <v>2.2858853849197442E-3</v>
      </c>
      <c r="I24" s="68">
        <f t="shared" si="11"/>
        <v>1.9989275746229327E-3</v>
      </c>
      <c r="J24" s="68">
        <f t="shared" si="11"/>
        <v>1.7837092169003239E-3</v>
      </c>
      <c r="K24" s="68">
        <f t="shared" si="11"/>
        <v>1.6163171608938507E-3</v>
      </c>
      <c r="L24" s="68">
        <f t="shared" si="11"/>
        <v>1.4824035160886718E-3</v>
      </c>
      <c r="M24" s="68">
        <f t="shared" si="11"/>
        <v>1.3728378067026166E-3</v>
      </c>
      <c r="N24" s="68">
        <f t="shared" si="11"/>
        <v>1.2815330488809039E-3</v>
      </c>
      <c r="O24" s="68">
        <f t="shared" si="11"/>
        <v>1.2042751768779163E-3</v>
      </c>
      <c r="P24" s="68">
        <f t="shared" si="11"/>
        <v>1.1380541437324982E-3</v>
      </c>
      <c r="Q24" s="68">
        <f t="shared" si="11"/>
        <v>1.0806625816731359E-3</v>
      </c>
      <c r="R24" s="68">
        <f t="shared" si="11"/>
        <v>1.0304449648711937E-3</v>
      </c>
      <c r="S24" s="68">
        <f t="shared" si="11"/>
        <v>9.8613530298712732E-4</v>
      </c>
      <c r="T24" s="68">
        <f t="shared" si="11"/>
        <v>9.467489368679571E-4</v>
      </c>
      <c r="U24" s="68">
        <f t="shared" si="11"/>
        <v>9.1150850402448903E-4</v>
      </c>
      <c r="V24" s="68">
        <f t="shared" si="11"/>
        <v>8.7979211446536775E-4</v>
      </c>
      <c r="W24" s="68">
        <f t="shared" si="11"/>
        <v>8.5109633343568658E-4</v>
      </c>
      <c r="X24" s="68">
        <f t="shared" si="11"/>
        <v>8.2500925977234006E-4</v>
      </c>
      <c r="Y24" s="68">
        <f t="shared" si="11"/>
        <v>8.0119062729711065E-4</v>
      </c>
      <c r="Z24" s="68">
        <f t="shared" si="11"/>
        <v>7.7935688086148383E-4</v>
      </c>
      <c r="AA24" s="68">
        <f t="shared" si="11"/>
        <v>7.5926983414070694E-4</v>
      </c>
      <c r="AB24" s="68">
        <f t="shared" si="11"/>
        <v>7.4072794485998989E-4</v>
      </c>
      <c r="AC24" s="68">
        <f t="shared" si="11"/>
        <v>7.2355952885932594E-4</v>
      </c>
      <c r="AD24" s="68">
        <f t="shared" si="11"/>
        <v>7.0761742828728087E-4</v>
      </c>
      <c r="AE24" s="68">
        <f t="shared" si="11"/>
        <v>6.9277478292710103E-4</v>
      </c>
      <c r="AF24" s="68">
        <f t="shared" si="11"/>
        <v>6.789216472575997E-4</v>
      </c>
      <c r="AG24" s="68"/>
    </row>
    <row r="25" spans="1:33" s="69" customFormat="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</row>
    <row r="26" spans="1:33" x14ac:dyDescent="0.25">
      <c r="A26" s="8" t="s">
        <v>60</v>
      </c>
      <c r="B26" s="1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2"/>
    </row>
    <row r="27" spans="1:33" x14ac:dyDescent="0.25">
      <c r="A27" s="9" t="s">
        <v>22</v>
      </c>
      <c r="B27" s="12">
        <f>ROUNDUP(B4/B34,0)*575</f>
        <v>575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12">
        <f>SUM(B27:AF27)</f>
        <v>575</v>
      </c>
    </row>
    <row r="28" spans="1:33" x14ac:dyDescent="0.25">
      <c r="A28" s="9" t="s">
        <v>13</v>
      </c>
      <c r="B28" s="12">
        <v>273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12">
        <f t="shared" ref="AG28:AG32" si="12">SUM(B28:AF28)</f>
        <v>273</v>
      </c>
    </row>
    <row r="29" spans="1:33" x14ac:dyDescent="0.25">
      <c r="A29" s="9" t="s">
        <v>23</v>
      </c>
      <c r="B29" s="9">
        <v>75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/>
    </row>
    <row r="30" spans="1:33" x14ac:dyDescent="0.25">
      <c r="A30" s="9" t="s">
        <v>24</v>
      </c>
      <c r="B30" s="12">
        <f>B29*1</f>
        <v>75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12">
        <f t="shared" si="12"/>
        <v>75</v>
      </c>
    </row>
    <row r="31" spans="1:33" x14ac:dyDescent="0.25">
      <c r="A31" s="9" t="s">
        <v>132</v>
      </c>
      <c r="B31" s="12">
        <f>(9*12)+350</f>
        <v>458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12">
        <f t="shared" si="12"/>
        <v>458</v>
      </c>
    </row>
    <row r="32" spans="1:33" x14ac:dyDescent="0.25">
      <c r="A32" s="9" t="s">
        <v>12</v>
      </c>
      <c r="B32" s="12">
        <f>0.15*4*12</f>
        <v>7.1999999999999993</v>
      </c>
      <c r="C32" s="12">
        <f>(B32)</f>
        <v>7.1999999999999993</v>
      </c>
      <c r="D32" s="12">
        <f t="shared" ref="D32:AF32" si="13">(C32)</f>
        <v>7.1999999999999993</v>
      </c>
      <c r="E32" s="12">
        <f t="shared" si="13"/>
        <v>7.1999999999999993</v>
      </c>
      <c r="F32" s="12">
        <f t="shared" si="13"/>
        <v>7.1999999999999993</v>
      </c>
      <c r="G32" s="12">
        <f t="shared" si="13"/>
        <v>7.1999999999999993</v>
      </c>
      <c r="H32" s="12">
        <f t="shared" si="13"/>
        <v>7.1999999999999993</v>
      </c>
      <c r="I32" s="12">
        <f t="shared" si="13"/>
        <v>7.1999999999999993</v>
      </c>
      <c r="J32" s="12">
        <f t="shared" si="13"/>
        <v>7.1999999999999993</v>
      </c>
      <c r="K32" s="12">
        <f t="shared" si="13"/>
        <v>7.1999999999999993</v>
      </c>
      <c r="L32" s="12">
        <f t="shared" si="13"/>
        <v>7.1999999999999993</v>
      </c>
      <c r="M32" s="12">
        <f t="shared" si="13"/>
        <v>7.1999999999999993</v>
      </c>
      <c r="N32" s="12">
        <f t="shared" si="13"/>
        <v>7.1999999999999993</v>
      </c>
      <c r="O32" s="12">
        <f t="shared" si="13"/>
        <v>7.1999999999999993</v>
      </c>
      <c r="P32" s="12">
        <f t="shared" si="13"/>
        <v>7.1999999999999993</v>
      </c>
      <c r="Q32" s="12">
        <f t="shared" si="13"/>
        <v>7.1999999999999993</v>
      </c>
      <c r="R32" s="12">
        <f t="shared" si="13"/>
        <v>7.1999999999999993</v>
      </c>
      <c r="S32" s="12">
        <f t="shared" si="13"/>
        <v>7.1999999999999993</v>
      </c>
      <c r="T32" s="12">
        <f t="shared" si="13"/>
        <v>7.1999999999999993</v>
      </c>
      <c r="U32" s="12">
        <f t="shared" si="13"/>
        <v>7.1999999999999993</v>
      </c>
      <c r="V32" s="12">
        <f t="shared" si="13"/>
        <v>7.1999999999999993</v>
      </c>
      <c r="W32" s="12">
        <f t="shared" si="13"/>
        <v>7.1999999999999993</v>
      </c>
      <c r="X32" s="12">
        <f t="shared" si="13"/>
        <v>7.1999999999999993</v>
      </c>
      <c r="Y32" s="12">
        <f t="shared" si="13"/>
        <v>7.1999999999999993</v>
      </c>
      <c r="Z32" s="12">
        <f t="shared" si="13"/>
        <v>7.1999999999999993</v>
      </c>
      <c r="AA32" s="12">
        <f t="shared" si="13"/>
        <v>7.1999999999999993</v>
      </c>
      <c r="AB32" s="12">
        <f t="shared" si="13"/>
        <v>7.1999999999999993</v>
      </c>
      <c r="AC32" s="12">
        <f t="shared" si="13"/>
        <v>7.1999999999999993</v>
      </c>
      <c r="AD32" s="12">
        <f t="shared" si="13"/>
        <v>7.1999999999999993</v>
      </c>
      <c r="AE32" s="12">
        <f t="shared" si="13"/>
        <v>7.1999999999999993</v>
      </c>
      <c r="AF32" s="12">
        <f t="shared" si="13"/>
        <v>7.1999999999999993</v>
      </c>
      <c r="AG32" s="12">
        <f t="shared" si="12"/>
        <v>223.19999999999987</v>
      </c>
    </row>
    <row r="33" spans="1:33" x14ac:dyDescent="0.25">
      <c r="A33" s="9" t="s">
        <v>104</v>
      </c>
      <c r="B33" s="15">
        <v>31</v>
      </c>
      <c r="C33" s="15">
        <f>B33</f>
        <v>31</v>
      </c>
      <c r="D33" s="15">
        <f t="shared" ref="D33:AF33" si="14">C33</f>
        <v>31</v>
      </c>
      <c r="E33" s="15">
        <f t="shared" si="14"/>
        <v>31</v>
      </c>
      <c r="F33" s="15">
        <f t="shared" si="14"/>
        <v>31</v>
      </c>
      <c r="G33" s="15">
        <f t="shared" si="14"/>
        <v>31</v>
      </c>
      <c r="H33" s="15">
        <f t="shared" si="14"/>
        <v>31</v>
      </c>
      <c r="I33" s="15">
        <f t="shared" si="14"/>
        <v>31</v>
      </c>
      <c r="J33" s="15">
        <f t="shared" si="14"/>
        <v>31</v>
      </c>
      <c r="K33" s="15">
        <f t="shared" si="14"/>
        <v>31</v>
      </c>
      <c r="L33" s="15">
        <f t="shared" si="14"/>
        <v>31</v>
      </c>
      <c r="M33" s="15">
        <f t="shared" si="14"/>
        <v>31</v>
      </c>
      <c r="N33" s="15">
        <f t="shared" si="14"/>
        <v>31</v>
      </c>
      <c r="O33" s="15">
        <f t="shared" si="14"/>
        <v>31</v>
      </c>
      <c r="P33" s="15">
        <f t="shared" si="14"/>
        <v>31</v>
      </c>
      <c r="Q33" s="15">
        <f t="shared" si="14"/>
        <v>31</v>
      </c>
      <c r="R33" s="15">
        <f t="shared" si="14"/>
        <v>31</v>
      </c>
      <c r="S33" s="15">
        <f t="shared" si="14"/>
        <v>31</v>
      </c>
      <c r="T33" s="15">
        <f t="shared" si="14"/>
        <v>31</v>
      </c>
      <c r="U33" s="15">
        <f t="shared" si="14"/>
        <v>31</v>
      </c>
      <c r="V33" s="15">
        <f t="shared" si="14"/>
        <v>31</v>
      </c>
      <c r="W33" s="15">
        <f t="shared" si="14"/>
        <v>31</v>
      </c>
      <c r="X33" s="15">
        <f t="shared" si="14"/>
        <v>31</v>
      </c>
      <c r="Y33" s="15">
        <f t="shared" si="14"/>
        <v>31</v>
      </c>
      <c r="Z33" s="15">
        <f t="shared" si="14"/>
        <v>31</v>
      </c>
      <c r="AA33" s="15">
        <f t="shared" si="14"/>
        <v>31</v>
      </c>
      <c r="AB33" s="15">
        <f t="shared" si="14"/>
        <v>31</v>
      </c>
      <c r="AC33" s="15">
        <f t="shared" si="14"/>
        <v>31</v>
      </c>
      <c r="AD33" s="15">
        <f t="shared" si="14"/>
        <v>31</v>
      </c>
      <c r="AE33" s="15">
        <f t="shared" si="14"/>
        <v>31</v>
      </c>
      <c r="AF33" s="15">
        <f t="shared" si="14"/>
        <v>31</v>
      </c>
      <c r="AG33" s="12"/>
    </row>
    <row r="34" spans="1:33" x14ac:dyDescent="0.25">
      <c r="A34" s="9" t="s">
        <v>120</v>
      </c>
      <c r="B34" s="15">
        <f>(B33*24)</f>
        <v>744</v>
      </c>
      <c r="C34" s="15">
        <f t="shared" ref="C34:AF34" si="15">(C33*24)</f>
        <v>744</v>
      </c>
      <c r="D34" s="15">
        <f t="shared" si="15"/>
        <v>744</v>
      </c>
      <c r="E34" s="15">
        <f t="shared" si="15"/>
        <v>744</v>
      </c>
      <c r="F34" s="15">
        <f t="shared" si="15"/>
        <v>744</v>
      </c>
      <c r="G34" s="15">
        <f t="shared" si="15"/>
        <v>744</v>
      </c>
      <c r="H34" s="15">
        <f t="shared" si="15"/>
        <v>744</v>
      </c>
      <c r="I34" s="15">
        <f t="shared" si="15"/>
        <v>744</v>
      </c>
      <c r="J34" s="15">
        <f t="shared" si="15"/>
        <v>744</v>
      </c>
      <c r="K34" s="15">
        <f t="shared" si="15"/>
        <v>744</v>
      </c>
      <c r="L34" s="15">
        <f t="shared" si="15"/>
        <v>744</v>
      </c>
      <c r="M34" s="15">
        <f t="shared" si="15"/>
        <v>744</v>
      </c>
      <c r="N34" s="15">
        <f t="shared" si="15"/>
        <v>744</v>
      </c>
      <c r="O34" s="15">
        <f t="shared" si="15"/>
        <v>744</v>
      </c>
      <c r="P34" s="15">
        <f t="shared" si="15"/>
        <v>744</v>
      </c>
      <c r="Q34" s="15">
        <f t="shared" si="15"/>
        <v>744</v>
      </c>
      <c r="R34" s="15">
        <f t="shared" si="15"/>
        <v>744</v>
      </c>
      <c r="S34" s="15">
        <f t="shared" si="15"/>
        <v>744</v>
      </c>
      <c r="T34" s="15">
        <f t="shared" si="15"/>
        <v>744</v>
      </c>
      <c r="U34" s="15">
        <f t="shared" si="15"/>
        <v>744</v>
      </c>
      <c r="V34" s="15">
        <f t="shared" si="15"/>
        <v>744</v>
      </c>
      <c r="W34" s="15">
        <f t="shared" si="15"/>
        <v>744</v>
      </c>
      <c r="X34" s="15">
        <f t="shared" si="15"/>
        <v>744</v>
      </c>
      <c r="Y34" s="15">
        <f t="shared" si="15"/>
        <v>744</v>
      </c>
      <c r="Z34" s="15">
        <f t="shared" si="15"/>
        <v>744</v>
      </c>
      <c r="AA34" s="15">
        <f t="shared" si="15"/>
        <v>744</v>
      </c>
      <c r="AB34" s="15">
        <f t="shared" si="15"/>
        <v>744</v>
      </c>
      <c r="AC34" s="15">
        <f t="shared" si="15"/>
        <v>744</v>
      </c>
      <c r="AD34" s="15">
        <f t="shared" si="15"/>
        <v>744</v>
      </c>
      <c r="AE34" s="15">
        <f t="shared" si="15"/>
        <v>744</v>
      </c>
      <c r="AF34" s="15">
        <f t="shared" si="15"/>
        <v>744</v>
      </c>
      <c r="AG34" s="12"/>
    </row>
    <row r="35" spans="1:33" x14ac:dyDescent="0.25">
      <c r="A35" s="9" t="s">
        <v>119</v>
      </c>
      <c r="B35" s="13">
        <f>SUM(B34*365)</f>
        <v>271560</v>
      </c>
      <c r="C35" s="13">
        <f>($B$35*C2)</f>
        <v>271560</v>
      </c>
      <c r="D35" s="13">
        <f t="shared" ref="D35:AF35" si="16">($B$35*D2)</f>
        <v>543120</v>
      </c>
      <c r="E35" s="13">
        <f t="shared" si="16"/>
        <v>814680</v>
      </c>
      <c r="F35" s="13">
        <f t="shared" si="16"/>
        <v>1086240</v>
      </c>
      <c r="G35" s="13">
        <f t="shared" si="16"/>
        <v>1357800</v>
      </c>
      <c r="H35" s="13">
        <f t="shared" si="16"/>
        <v>1629360</v>
      </c>
      <c r="I35" s="13">
        <f t="shared" si="16"/>
        <v>1900920</v>
      </c>
      <c r="J35" s="13">
        <f t="shared" si="16"/>
        <v>2172480</v>
      </c>
      <c r="K35" s="13">
        <f t="shared" si="16"/>
        <v>2444040</v>
      </c>
      <c r="L35" s="13">
        <f t="shared" si="16"/>
        <v>2715600</v>
      </c>
      <c r="M35" s="13">
        <f t="shared" si="16"/>
        <v>2987160</v>
      </c>
      <c r="N35" s="13">
        <f t="shared" si="16"/>
        <v>3258720</v>
      </c>
      <c r="O35" s="13">
        <f t="shared" si="16"/>
        <v>3530280</v>
      </c>
      <c r="P35" s="13">
        <f t="shared" si="16"/>
        <v>3801840</v>
      </c>
      <c r="Q35" s="13">
        <f t="shared" si="16"/>
        <v>4073400</v>
      </c>
      <c r="R35" s="13">
        <f t="shared" si="16"/>
        <v>4344960</v>
      </c>
      <c r="S35" s="13">
        <f t="shared" si="16"/>
        <v>4616520</v>
      </c>
      <c r="T35" s="13">
        <f t="shared" si="16"/>
        <v>4888080</v>
      </c>
      <c r="U35" s="13">
        <f t="shared" si="16"/>
        <v>5159640</v>
      </c>
      <c r="V35" s="13">
        <f t="shared" si="16"/>
        <v>5431200</v>
      </c>
      <c r="W35" s="13">
        <f t="shared" si="16"/>
        <v>5702760</v>
      </c>
      <c r="X35" s="13">
        <f t="shared" si="16"/>
        <v>5974320</v>
      </c>
      <c r="Y35" s="13">
        <f t="shared" si="16"/>
        <v>6245880</v>
      </c>
      <c r="Z35" s="13">
        <f t="shared" si="16"/>
        <v>6517440</v>
      </c>
      <c r="AA35" s="13">
        <f t="shared" si="16"/>
        <v>6789000</v>
      </c>
      <c r="AB35" s="13">
        <f t="shared" si="16"/>
        <v>7060560</v>
      </c>
      <c r="AC35" s="13">
        <f t="shared" si="16"/>
        <v>7332120</v>
      </c>
      <c r="AD35" s="13">
        <f t="shared" si="16"/>
        <v>7603680</v>
      </c>
      <c r="AE35" s="13">
        <f t="shared" si="16"/>
        <v>7875240</v>
      </c>
      <c r="AF35" s="13">
        <f t="shared" si="16"/>
        <v>8146800</v>
      </c>
      <c r="AG35" s="9"/>
    </row>
    <row r="36" spans="1:33" x14ac:dyDescent="0.25">
      <c r="A36" s="9" t="s">
        <v>88</v>
      </c>
      <c r="B36" s="12">
        <f>SUM(B27+B28+B30+B32)</f>
        <v>930.2</v>
      </c>
      <c r="C36" s="12">
        <f t="shared" ref="C36:AF36" si="17">SUM(C26+C27+C28+C30+C32)</f>
        <v>7.1999999999999993</v>
      </c>
      <c r="D36" s="12">
        <f t="shared" si="17"/>
        <v>7.1999999999999993</v>
      </c>
      <c r="E36" s="12">
        <f t="shared" si="17"/>
        <v>7.1999999999999993</v>
      </c>
      <c r="F36" s="12">
        <f t="shared" si="17"/>
        <v>7.1999999999999993</v>
      </c>
      <c r="G36" s="12">
        <f t="shared" si="17"/>
        <v>7.1999999999999993</v>
      </c>
      <c r="H36" s="12">
        <f t="shared" si="17"/>
        <v>7.1999999999999993</v>
      </c>
      <c r="I36" s="12">
        <f t="shared" si="17"/>
        <v>7.1999999999999993</v>
      </c>
      <c r="J36" s="12">
        <f t="shared" si="17"/>
        <v>7.1999999999999993</v>
      </c>
      <c r="K36" s="12">
        <f t="shared" si="17"/>
        <v>7.1999999999999993</v>
      </c>
      <c r="L36" s="12">
        <f t="shared" si="17"/>
        <v>7.1999999999999993</v>
      </c>
      <c r="M36" s="12">
        <f t="shared" si="17"/>
        <v>7.1999999999999993</v>
      </c>
      <c r="N36" s="12">
        <f t="shared" si="17"/>
        <v>7.1999999999999993</v>
      </c>
      <c r="O36" s="12">
        <f t="shared" si="17"/>
        <v>7.1999999999999993</v>
      </c>
      <c r="P36" s="12">
        <f t="shared" si="17"/>
        <v>7.1999999999999993</v>
      </c>
      <c r="Q36" s="12">
        <f t="shared" si="17"/>
        <v>7.1999999999999993</v>
      </c>
      <c r="R36" s="12">
        <f t="shared" si="17"/>
        <v>7.1999999999999993</v>
      </c>
      <c r="S36" s="12">
        <f t="shared" si="17"/>
        <v>7.1999999999999993</v>
      </c>
      <c r="T36" s="12">
        <f t="shared" si="17"/>
        <v>7.1999999999999993</v>
      </c>
      <c r="U36" s="12">
        <f t="shared" si="17"/>
        <v>7.1999999999999993</v>
      </c>
      <c r="V36" s="12">
        <f t="shared" si="17"/>
        <v>7.1999999999999993</v>
      </c>
      <c r="W36" s="12">
        <f t="shared" si="17"/>
        <v>7.1999999999999993</v>
      </c>
      <c r="X36" s="12">
        <f t="shared" si="17"/>
        <v>7.1999999999999993</v>
      </c>
      <c r="Y36" s="12">
        <f t="shared" si="17"/>
        <v>7.1999999999999993</v>
      </c>
      <c r="Z36" s="12">
        <f t="shared" si="17"/>
        <v>7.1999999999999993</v>
      </c>
      <c r="AA36" s="12">
        <f t="shared" si="17"/>
        <v>7.1999999999999993</v>
      </c>
      <c r="AB36" s="12">
        <f t="shared" si="17"/>
        <v>7.1999999999999993</v>
      </c>
      <c r="AC36" s="12">
        <f t="shared" si="17"/>
        <v>7.1999999999999993</v>
      </c>
      <c r="AD36" s="12">
        <f t="shared" si="17"/>
        <v>7.1999999999999993</v>
      </c>
      <c r="AE36" s="12">
        <f t="shared" si="17"/>
        <v>7.1999999999999993</v>
      </c>
      <c r="AF36" s="12">
        <f t="shared" si="17"/>
        <v>7.1999999999999993</v>
      </c>
      <c r="AG36" s="9"/>
    </row>
    <row r="37" spans="1:33" x14ac:dyDescent="0.25">
      <c r="A37" s="9" t="s">
        <v>121</v>
      </c>
      <c r="B37" s="12">
        <f>B36</f>
        <v>930.2</v>
      </c>
      <c r="C37" s="12">
        <f>B37+C36</f>
        <v>937.40000000000009</v>
      </c>
      <c r="D37" s="12">
        <f t="shared" ref="D37" si="18">C37+D36</f>
        <v>944.60000000000014</v>
      </c>
      <c r="E37" s="12">
        <f t="shared" ref="E37" si="19">D37+E36</f>
        <v>951.80000000000018</v>
      </c>
      <c r="F37" s="12">
        <f t="shared" ref="F37" si="20">E37+F36</f>
        <v>959.00000000000023</v>
      </c>
      <c r="G37" s="12">
        <f t="shared" ref="G37" si="21">F37+G36</f>
        <v>966.20000000000027</v>
      </c>
      <c r="H37" s="12">
        <f t="shared" ref="H37" si="22">G37+H36</f>
        <v>973.40000000000032</v>
      </c>
      <c r="I37" s="12">
        <f t="shared" ref="I37" si="23">H37+I36</f>
        <v>980.60000000000036</v>
      </c>
      <c r="J37" s="12">
        <f t="shared" ref="J37" si="24">I37+J36</f>
        <v>987.80000000000041</v>
      </c>
      <c r="K37" s="12">
        <f t="shared" ref="K37" si="25">J37+K36</f>
        <v>995.00000000000045</v>
      </c>
      <c r="L37" s="12">
        <f t="shared" ref="L37" si="26">K37+L36</f>
        <v>1002.2000000000005</v>
      </c>
      <c r="M37" s="12">
        <f t="shared" ref="M37" si="27">L37+M36</f>
        <v>1009.4000000000005</v>
      </c>
      <c r="N37" s="12">
        <f t="shared" ref="N37" si="28">M37+N36</f>
        <v>1016.6000000000006</v>
      </c>
      <c r="O37" s="12">
        <f t="shared" ref="O37" si="29">N37+O36</f>
        <v>1023.8000000000006</v>
      </c>
      <c r="P37" s="12">
        <f t="shared" ref="P37" si="30">O37+P36</f>
        <v>1031.0000000000007</v>
      </c>
      <c r="Q37" s="12">
        <f t="shared" ref="Q37" si="31">P37+Q36</f>
        <v>1038.2000000000007</v>
      </c>
      <c r="R37" s="12">
        <f t="shared" ref="R37" si="32">Q37+R36</f>
        <v>1045.4000000000008</v>
      </c>
      <c r="S37" s="12">
        <f t="shared" ref="S37" si="33">R37+S36</f>
        <v>1052.6000000000008</v>
      </c>
      <c r="T37" s="12">
        <f t="shared" ref="T37" si="34">S37+T36</f>
        <v>1059.8000000000009</v>
      </c>
      <c r="U37" s="12">
        <f t="shared" ref="U37" si="35">T37+U36</f>
        <v>1067.0000000000009</v>
      </c>
      <c r="V37" s="12">
        <f t="shared" ref="V37" si="36">U37+V36</f>
        <v>1074.200000000001</v>
      </c>
      <c r="W37" s="12">
        <f t="shared" ref="W37" si="37">V37+W36</f>
        <v>1081.400000000001</v>
      </c>
      <c r="X37" s="12">
        <f t="shared" ref="X37" si="38">W37+X36</f>
        <v>1088.600000000001</v>
      </c>
      <c r="Y37" s="12">
        <f t="shared" ref="Y37" si="39">X37+Y36</f>
        <v>1095.8000000000011</v>
      </c>
      <c r="Z37" s="12">
        <f t="shared" ref="Z37" si="40">Y37+Z36</f>
        <v>1103.0000000000011</v>
      </c>
      <c r="AA37" s="12">
        <f t="shared" ref="AA37" si="41">Z37+AA36</f>
        <v>1110.2000000000012</v>
      </c>
      <c r="AB37" s="12">
        <f t="shared" ref="AB37" si="42">AA37+AB36</f>
        <v>1117.4000000000012</v>
      </c>
      <c r="AC37" s="12">
        <f t="shared" ref="AC37" si="43">AB37+AC36</f>
        <v>1124.6000000000013</v>
      </c>
      <c r="AD37" s="12">
        <f t="shared" ref="AD37" si="44">AC37+AD36</f>
        <v>1131.8000000000013</v>
      </c>
      <c r="AE37" s="12">
        <f t="shared" ref="AE37" si="45">AD37+AE36</f>
        <v>1139.0000000000014</v>
      </c>
      <c r="AF37" s="12">
        <f t="shared" ref="AF37" si="46">AE37+AF36</f>
        <v>1146.2000000000014</v>
      </c>
      <c r="AG37" s="9"/>
    </row>
    <row r="38" spans="1:33" x14ac:dyDescent="0.25">
      <c r="A38" s="9" t="s">
        <v>122</v>
      </c>
      <c r="B38" s="12">
        <f>SUM(AG27:AG32)</f>
        <v>1604.1999999999998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>
        <f>SUM(AG27:AG32)</f>
        <v>1604.1999999999998</v>
      </c>
    </row>
    <row r="39" spans="1:33" x14ac:dyDescent="0.25">
      <c r="A39" s="9" t="s">
        <v>90</v>
      </c>
      <c r="B39" s="12">
        <f>B36</f>
        <v>930.2</v>
      </c>
      <c r="C39" s="12">
        <f>SUM(C37/C2)</f>
        <v>937.40000000000009</v>
      </c>
      <c r="D39" s="12">
        <f t="shared" ref="D39:AF39" si="47">SUM(D37/D2)</f>
        <v>472.30000000000007</v>
      </c>
      <c r="E39" s="12">
        <f t="shared" si="47"/>
        <v>317.26666666666671</v>
      </c>
      <c r="F39" s="12">
        <f t="shared" si="47"/>
        <v>239.75000000000006</v>
      </c>
      <c r="G39" s="12">
        <f t="shared" si="47"/>
        <v>193.24000000000007</v>
      </c>
      <c r="H39" s="12">
        <f t="shared" si="47"/>
        <v>162.23333333333338</v>
      </c>
      <c r="I39" s="12">
        <f t="shared" si="47"/>
        <v>140.08571428571435</v>
      </c>
      <c r="J39" s="12">
        <f t="shared" si="47"/>
        <v>123.47500000000005</v>
      </c>
      <c r="K39" s="12">
        <f t="shared" si="47"/>
        <v>110.5555555555556</v>
      </c>
      <c r="L39" s="12">
        <f t="shared" si="47"/>
        <v>100.22000000000006</v>
      </c>
      <c r="M39" s="12">
        <f t="shared" si="47"/>
        <v>91.763636363636408</v>
      </c>
      <c r="N39" s="12">
        <f t="shared" si="47"/>
        <v>84.716666666666711</v>
      </c>
      <c r="O39" s="12">
        <f t="shared" si="47"/>
        <v>78.753846153846197</v>
      </c>
      <c r="P39" s="12">
        <f t="shared" si="47"/>
        <v>73.642857142857196</v>
      </c>
      <c r="Q39" s="12">
        <f t="shared" si="47"/>
        <v>69.213333333333381</v>
      </c>
      <c r="R39" s="12">
        <f t="shared" si="47"/>
        <v>65.337500000000048</v>
      </c>
      <c r="S39" s="12">
        <f t="shared" si="47"/>
        <v>61.917647058823576</v>
      </c>
      <c r="T39" s="12">
        <f t="shared" si="47"/>
        <v>58.877777777777823</v>
      </c>
      <c r="U39" s="12">
        <f t="shared" si="47"/>
        <v>56.157894736842152</v>
      </c>
      <c r="V39" s="12">
        <f t="shared" si="47"/>
        <v>53.710000000000051</v>
      </c>
      <c r="W39" s="12">
        <f t="shared" si="47"/>
        <v>51.495238095238143</v>
      </c>
      <c r="X39" s="12">
        <f t="shared" si="47"/>
        <v>49.481818181818227</v>
      </c>
      <c r="Y39" s="12">
        <f t="shared" si="47"/>
        <v>47.643478260869614</v>
      </c>
      <c r="Z39" s="12">
        <f t="shared" si="47"/>
        <v>45.958333333333378</v>
      </c>
      <c r="AA39" s="12">
        <f t="shared" si="47"/>
        <v>44.408000000000044</v>
      </c>
      <c r="AB39" s="12">
        <f t="shared" si="47"/>
        <v>42.976923076923121</v>
      </c>
      <c r="AC39" s="12">
        <f t="shared" si="47"/>
        <v>41.651851851851902</v>
      </c>
      <c r="AD39" s="12">
        <f t="shared" si="47"/>
        <v>40.421428571428621</v>
      </c>
      <c r="AE39" s="12">
        <f t="shared" si="47"/>
        <v>39.275862068965566</v>
      </c>
      <c r="AF39" s="12">
        <f t="shared" si="47"/>
        <v>38.206666666666713</v>
      </c>
      <c r="AG39" s="12"/>
    </row>
    <row r="40" spans="1:33" s="69" customFormat="1" x14ac:dyDescent="0.25">
      <c r="A40" s="68" t="s">
        <v>108</v>
      </c>
      <c r="B40" s="68">
        <f>(B37/B35)</f>
        <v>3.4253940197378112E-3</v>
      </c>
      <c r="C40" s="68">
        <f t="shared" ref="C40:AF40" si="48">(C37/C35)</f>
        <v>3.451907497422301E-3</v>
      </c>
      <c r="D40" s="68">
        <f t="shared" si="48"/>
        <v>1.7392104875533954E-3</v>
      </c>
      <c r="E40" s="68">
        <f t="shared" si="48"/>
        <v>1.1683114842637602E-3</v>
      </c>
      <c r="F40" s="68">
        <f t="shared" si="48"/>
        <v>8.8286198261894257E-4</v>
      </c>
      <c r="G40" s="68">
        <f t="shared" si="48"/>
        <v>7.1159228163205203E-4</v>
      </c>
      <c r="H40" s="68">
        <f t="shared" si="48"/>
        <v>5.9741248097412497E-4</v>
      </c>
      <c r="I40" s="68">
        <f t="shared" si="48"/>
        <v>5.158554805041771E-4</v>
      </c>
      <c r="J40" s="68">
        <f t="shared" si="48"/>
        <v>4.5468773015171622E-4</v>
      </c>
      <c r="K40" s="68">
        <f t="shared" si="48"/>
        <v>4.0711281321091327E-4</v>
      </c>
      <c r="L40" s="68">
        <f t="shared" si="48"/>
        <v>3.690528796582709E-4</v>
      </c>
      <c r="M40" s="68">
        <f t="shared" si="48"/>
        <v>3.379129340242908E-4</v>
      </c>
      <c r="N40" s="68">
        <f t="shared" si="48"/>
        <v>3.1196297932930742E-4</v>
      </c>
      <c r="O40" s="68">
        <f t="shared" si="48"/>
        <v>2.9000532535662914E-4</v>
      </c>
      <c r="P40" s="68">
        <f t="shared" si="48"/>
        <v>2.7118447909433343E-4</v>
      </c>
      <c r="Q40" s="68">
        <f t="shared" si="48"/>
        <v>2.5487307900034389E-4</v>
      </c>
      <c r="R40" s="68">
        <f t="shared" si="48"/>
        <v>2.4060060391810299E-4</v>
      </c>
      <c r="S40" s="68">
        <f t="shared" si="48"/>
        <v>2.2800724355141985E-4</v>
      </c>
      <c r="T40" s="68">
        <f t="shared" si="48"/>
        <v>2.1681314544770152E-4</v>
      </c>
      <c r="U40" s="68">
        <f t="shared" si="48"/>
        <v>2.0679737346016407E-4</v>
      </c>
      <c r="V40" s="68">
        <f t="shared" si="48"/>
        <v>1.9778317867138036E-4</v>
      </c>
      <c r="W40" s="68">
        <f t="shared" si="48"/>
        <v>1.8962747862438556E-4</v>
      </c>
      <c r="X40" s="68">
        <f t="shared" si="48"/>
        <v>1.8221320585439031E-4</v>
      </c>
      <c r="Y40" s="68">
        <f t="shared" si="48"/>
        <v>1.7544365245569896E-4</v>
      </c>
      <c r="Z40" s="68">
        <f t="shared" si="48"/>
        <v>1.6923822850689859E-4</v>
      </c>
      <c r="AA40" s="68">
        <f t="shared" si="48"/>
        <v>1.6352923847400225E-4</v>
      </c>
      <c r="AB40" s="68">
        <f t="shared" si="48"/>
        <v>1.5825940152055945E-4</v>
      </c>
      <c r="AC40" s="68">
        <f t="shared" si="48"/>
        <v>1.5337992285996427E-4</v>
      </c>
      <c r="AD40" s="68">
        <f t="shared" si="48"/>
        <v>1.4884897838941162E-4</v>
      </c>
      <c r="AE40" s="68">
        <f t="shared" si="48"/>
        <v>1.446305128478626E-4</v>
      </c>
      <c r="AF40" s="68">
        <f t="shared" si="48"/>
        <v>1.4069327834241683E-4</v>
      </c>
      <c r="AG40" s="68"/>
    </row>
    <row r="41" spans="1:33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5">
      <c r="A42" s="17" t="s">
        <v>61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9"/>
      <c r="AA42" s="18"/>
      <c r="AB42" s="18"/>
      <c r="AC42" s="18"/>
      <c r="AD42" s="18"/>
      <c r="AE42" s="18"/>
      <c r="AF42" s="18"/>
      <c r="AG42" s="18"/>
    </row>
    <row r="43" spans="1:33" x14ac:dyDescent="0.25">
      <c r="A43" s="18" t="s">
        <v>8</v>
      </c>
      <c r="B43" s="18">
        <f t="shared" ref="B43:AF43" si="49">(B4*2)</f>
        <v>400</v>
      </c>
      <c r="C43" s="18">
        <f t="shared" si="49"/>
        <v>400</v>
      </c>
      <c r="D43" s="18">
        <f t="shared" si="49"/>
        <v>400</v>
      </c>
      <c r="E43" s="18">
        <f t="shared" si="49"/>
        <v>400</v>
      </c>
      <c r="F43" s="18">
        <f t="shared" si="49"/>
        <v>400</v>
      </c>
      <c r="G43" s="18">
        <f t="shared" si="49"/>
        <v>400</v>
      </c>
      <c r="H43" s="18">
        <f t="shared" si="49"/>
        <v>400</v>
      </c>
      <c r="I43" s="18">
        <f t="shared" si="49"/>
        <v>400</v>
      </c>
      <c r="J43" s="18">
        <f t="shared" si="49"/>
        <v>400</v>
      </c>
      <c r="K43" s="18">
        <f t="shared" si="49"/>
        <v>400</v>
      </c>
      <c r="L43" s="18">
        <f t="shared" si="49"/>
        <v>400</v>
      </c>
      <c r="M43" s="18">
        <f t="shared" si="49"/>
        <v>400</v>
      </c>
      <c r="N43" s="18">
        <f t="shared" si="49"/>
        <v>400</v>
      </c>
      <c r="O43" s="18">
        <f t="shared" si="49"/>
        <v>400</v>
      </c>
      <c r="P43" s="18">
        <f t="shared" si="49"/>
        <v>400</v>
      </c>
      <c r="Q43" s="18">
        <f t="shared" si="49"/>
        <v>400</v>
      </c>
      <c r="R43" s="18">
        <f t="shared" si="49"/>
        <v>400</v>
      </c>
      <c r="S43" s="18">
        <f t="shared" si="49"/>
        <v>400</v>
      </c>
      <c r="T43" s="18">
        <f t="shared" si="49"/>
        <v>400</v>
      </c>
      <c r="U43" s="18">
        <f t="shared" si="49"/>
        <v>400</v>
      </c>
      <c r="V43" s="18">
        <f t="shared" si="49"/>
        <v>400</v>
      </c>
      <c r="W43" s="18">
        <f t="shared" si="49"/>
        <v>400</v>
      </c>
      <c r="X43" s="18">
        <f t="shared" si="49"/>
        <v>400</v>
      </c>
      <c r="Y43" s="18">
        <f t="shared" si="49"/>
        <v>400</v>
      </c>
      <c r="Z43" s="18">
        <f t="shared" si="49"/>
        <v>400</v>
      </c>
      <c r="AA43" s="18">
        <f t="shared" si="49"/>
        <v>400</v>
      </c>
      <c r="AB43" s="18">
        <f t="shared" si="49"/>
        <v>400</v>
      </c>
      <c r="AC43" s="18">
        <f t="shared" si="49"/>
        <v>400</v>
      </c>
      <c r="AD43" s="18">
        <f t="shared" si="49"/>
        <v>400</v>
      </c>
      <c r="AE43" s="18">
        <f t="shared" si="49"/>
        <v>400</v>
      </c>
      <c r="AF43" s="18">
        <f t="shared" si="49"/>
        <v>400</v>
      </c>
      <c r="AG43" s="18"/>
    </row>
    <row r="44" spans="1:33" x14ac:dyDescent="0.25">
      <c r="A44" s="18" t="s">
        <v>9</v>
      </c>
      <c r="B44" s="18">
        <f>ROUNDUP(((B43/215)*2),0)</f>
        <v>4</v>
      </c>
      <c r="C44" s="18">
        <v>0</v>
      </c>
      <c r="D44" s="18">
        <v>0</v>
      </c>
      <c r="E44" s="18">
        <f>ROUNDUP(((E43/215)*2),0)</f>
        <v>4</v>
      </c>
      <c r="F44" s="18">
        <v>0</v>
      </c>
      <c r="G44" s="18">
        <v>0</v>
      </c>
      <c r="H44" s="18">
        <f>ROUNDUP(((H43/215)*2),0)</f>
        <v>4</v>
      </c>
      <c r="I44" s="18">
        <v>0</v>
      </c>
      <c r="J44" s="18">
        <v>0</v>
      </c>
      <c r="K44" s="18">
        <f>ROUNDUP(((K43/215)*2),0)</f>
        <v>4</v>
      </c>
      <c r="L44" s="18">
        <v>0</v>
      </c>
      <c r="M44" s="18">
        <v>0</v>
      </c>
      <c r="N44" s="18">
        <f>ROUNDUP(((N43/215)*2),0)</f>
        <v>4</v>
      </c>
      <c r="O44" s="18">
        <v>0</v>
      </c>
      <c r="P44" s="18">
        <v>0</v>
      </c>
      <c r="Q44" s="18">
        <f>ROUNDUP(((Q43/215)*2),0)</f>
        <v>4</v>
      </c>
      <c r="R44" s="18">
        <v>0</v>
      </c>
      <c r="S44" s="18">
        <v>0</v>
      </c>
      <c r="T44" s="18">
        <f>ROUNDUP(((T43/215)*2),0)</f>
        <v>4</v>
      </c>
      <c r="U44" s="18">
        <v>0</v>
      </c>
      <c r="V44" s="18">
        <v>0</v>
      </c>
      <c r="W44" s="18">
        <f>ROUNDUP(((W43/215)*2),0)</f>
        <v>4</v>
      </c>
      <c r="X44" s="18">
        <v>0</v>
      </c>
      <c r="Y44" s="18">
        <v>0</v>
      </c>
      <c r="Z44" s="18">
        <f>ROUNDUP(((Z43/215)*2),0)</f>
        <v>4</v>
      </c>
      <c r="AA44" s="18">
        <v>0</v>
      </c>
      <c r="AB44" s="18">
        <v>0</v>
      </c>
      <c r="AC44" s="18">
        <f>ROUNDUP(((AC43/215)*2),0)</f>
        <v>4</v>
      </c>
      <c r="AD44" s="18">
        <v>0</v>
      </c>
      <c r="AE44" s="18">
        <v>0</v>
      </c>
      <c r="AF44" s="18">
        <f>ROUNDUP(((AF43/215)*2),0)</f>
        <v>4</v>
      </c>
      <c r="AG44" s="20">
        <f>SUM(B44:AF44)</f>
        <v>44</v>
      </c>
    </row>
    <row r="45" spans="1:33" x14ac:dyDescent="0.25">
      <c r="A45" s="18" t="s">
        <v>49</v>
      </c>
      <c r="B45" s="18">
        <f>(B43/2)</f>
        <v>200</v>
      </c>
      <c r="C45" s="18">
        <f t="shared" ref="C45:AF45" si="50">(C43/2)</f>
        <v>200</v>
      </c>
      <c r="D45" s="18">
        <f t="shared" si="50"/>
        <v>200</v>
      </c>
      <c r="E45" s="18">
        <f t="shared" si="50"/>
        <v>200</v>
      </c>
      <c r="F45" s="18">
        <f t="shared" si="50"/>
        <v>200</v>
      </c>
      <c r="G45" s="18">
        <f t="shared" si="50"/>
        <v>200</v>
      </c>
      <c r="H45" s="18">
        <f t="shared" si="50"/>
        <v>200</v>
      </c>
      <c r="I45" s="18">
        <f t="shared" si="50"/>
        <v>200</v>
      </c>
      <c r="J45" s="18">
        <f t="shared" si="50"/>
        <v>200</v>
      </c>
      <c r="K45" s="18">
        <f t="shared" si="50"/>
        <v>200</v>
      </c>
      <c r="L45" s="18">
        <f t="shared" si="50"/>
        <v>200</v>
      </c>
      <c r="M45" s="18">
        <f t="shared" si="50"/>
        <v>200</v>
      </c>
      <c r="N45" s="18">
        <f t="shared" si="50"/>
        <v>200</v>
      </c>
      <c r="O45" s="18">
        <f t="shared" si="50"/>
        <v>200</v>
      </c>
      <c r="P45" s="18">
        <f t="shared" si="50"/>
        <v>200</v>
      </c>
      <c r="Q45" s="18">
        <f t="shared" si="50"/>
        <v>200</v>
      </c>
      <c r="R45" s="18">
        <f t="shared" si="50"/>
        <v>200</v>
      </c>
      <c r="S45" s="18">
        <f t="shared" si="50"/>
        <v>200</v>
      </c>
      <c r="T45" s="18">
        <f t="shared" si="50"/>
        <v>200</v>
      </c>
      <c r="U45" s="18">
        <f t="shared" si="50"/>
        <v>200</v>
      </c>
      <c r="V45" s="18">
        <f t="shared" si="50"/>
        <v>200</v>
      </c>
      <c r="W45" s="18">
        <f t="shared" si="50"/>
        <v>200</v>
      </c>
      <c r="X45" s="18">
        <f t="shared" si="50"/>
        <v>200</v>
      </c>
      <c r="Y45" s="18">
        <f t="shared" si="50"/>
        <v>200</v>
      </c>
      <c r="Z45" s="18">
        <f t="shared" si="50"/>
        <v>200</v>
      </c>
      <c r="AA45" s="18">
        <f t="shared" si="50"/>
        <v>200</v>
      </c>
      <c r="AB45" s="18">
        <f t="shared" si="50"/>
        <v>200</v>
      </c>
      <c r="AC45" s="18">
        <f t="shared" si="50"/>
        <v>200</v>
      </c>
      <c r="AD45" s="18">
        <f t="shared" si="50"/>
        <v>200</v>
      </c>
      <c r="AE45" s="18">
        <f t="shared" si="50"/>
        <v>200</v>
      </c>
      <c r="AF45" s="18">
        <f t="shared" si="50"/>
        <v>200</v>
      </c>
      <c r="AG45" s="20"/>
    </row>
    <row r="46" spans="1:33" x14ac:dyDescent="0.25">
      <c r="A46" s="18" t="s">
        <v>123</v>
      </c>
      <c r="B46" s="21">
        <f>(B44*127)</f>
        <v>508</v>
      </c>
      <c r="C46" s="18">
        <f t="shared" ref="C46:AE46" si="51">(C44*97)</f>
        <v>0</v>
      </c>
      <c r="D46" s="18">
        <f t="shared" si="51"/>
        <v>0</v>
      </c>
      <c r="E46" s="21">
        <f>(E44*127)</f>
        <v>508</v>
      </c>
      <c r="F46" s="18">
        <f t="shared" si="51"/>
        <v>0</v>
      </c>
      <c r="G46" s="18">
        <f t="shared" si="51"/>
        <v>0</v>
      </c>
      <c r="H46" s="21">
        <f>(H44*127)</f>
        <v>508</v>
      </c>
      <c r="I46" s="18">
        <f t="shared" si="51"/>
        <v>0</v>
      </c>
      <c r="J46" s="18">
        <f t="shared" si="51"/>
        <v>0</v>
      </c>
      <c r="K46" s="21">
        <f>(K44*127)</f>
        <v>508</v>
      </c>
      <c r="L46" s="18">
        <f t="shared" si="51"/>
        <v>0</v>
      </c>
      <c r="M46" s="18">
        <f t="shared" si="51"/>
        <v>0</v>
      </c>
      <c r="N46" s="21">
        <f>(N44*127)</f>
        <v>508</v>
      </c>
      <c r="O46" s="18">
        <f t="shared" si="51"/>
        <v>0</v>
      </c>
      <c r="P46" s="18">
        <f t="shared" si="51"/>
        <v>0</v>
      </c>
      <c r="Q46" s="21">
        <f>(Q44*127)</f>
        <v>508</v>
      </c>
      <c r="R46" s="18">
        <f t="shared" si="51"/>
        <v>0</v>
      </c>
      <c r="S46" s="18">
        <f t="shared" si="51"/>
        <v>0</v>
      </c>
      <c r="T46" s="21">
        <f>(T44*127)</f>
        <v>508</v>
      </c>
      <c r="U46" s="18">
        <f t="shared" si="51"/>
        <v>0</v>
      </c>
      <c r="V46" s="18">
        <f t="shared" si="51"/>
        <v>0</v>
      </c>
      <c r="W46" s="21">
        <f>(W44*127)</f>
        <v>508</v>
      </c>
      <c r="X46" s="18">
        <f t="shared" si="51"/>
        <v>0</v>
      </c>
      <c r="Y46" s="18">
        <f t="shared" si="51"/>
        <v>0</v>
      </c>
      <c r="Z46" s="21">
        <f>(Z44*127)</f>
        <v>508</v>
      </c>
      <c r="AA46" s="18">
        <f t="shared" si="51"/>
        <v>0</v>
      </c>
      <c r="AB46" s="20">
        <f t="shared" si="51"/>
        <v>0</v>
      </c>
      <c r="AC46" s="21">
        <f>(AC44*127)</f>
        <v>508</v>
      </c>
      <c r="AD46" s="18">
        <f t="shared" si="51"/>
        <v>0</v>
      </c>
      <c r="AE46" s="20">
        <f t="shared" si="51"/>
        <v>0</v>
      </c>
      <c r="AF46" s="21">
        <f>(AF44*127)</f>
        <v>508</v>
      </c>
      <c r="AG46" s="21">
        <f>SUM(B46:AF46)</f>
        <v>5588</v>
      </c>
    </row>
    <row r="47" spans="1:33" x14ac:dyDescent="0.25">
      <c r="A47" s="18" t="s">
        <v>14</v>
      </c>
      <c r="B47" s="18">
        <f>B44*5</f>
        <v>20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/>
    </row>
    <row r="48" spans="1:33" x14ac:dyDescent="0.25">
      <c r="A48" s="18" t="s">
        <v>77</v>
      </c>
      <c r="B48" s="21">
        <f>B47*2.75</f>
        <v>55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21">
        <f>SUM(B48:AF48)</f>
        <v>55</v>
      </c>
    </row>
    <row r="49" spans="1:33" s="16" customFormat="1" x14ac:dyDescent="0.25">
      <c r="A49" s="18" t="s">
        <v>133</v>
      </c>
      <c r="B49" s="21">
        <f>(4*12)</f>
        <v>48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21">
        <f>SUM(B49:AF49)</f>
        <v>48</v>
      </c>
    </row>
    <row r="50" spans="1:33" x14ac:dyDescent="0.25">
      <c r="A50" s="18" t="s">
        <v>10</v>
      </c>
      <c r="B50" s="21">
        <f>(2*12*12)</f>
        <v>288</v>
      </c>
      <c r="C50" s="21">
        <f>(B50)</f>
        <v>288</v>
      </c>
      <c r="D50" s="21">
        <f t="shared" ref="D50:AF50" si="52">(C50)</f>
        <v>288</v>
      </c>
      <c r="E50" s="21">
        <f t="shared" si="52"/>
        <v>288</v>
      </c>
      <c r="F50" s="21">
        <f t="shared" si="52"/>
        <v>288</v>
      </c>
      <c r="G50" s="21">
        <f t="shared" si="52"/>
        <v>288</v>
      </c>
      <c r="H50" s="21">
        <f t="shared" si="52"/>
        <v>288</v>
      </c>
      <c r="I50" s="21">
        <f t="shared" si="52"/>
        <v>288</v>
      </c>
      <c r="J50" s="21">
        <f t="shared" si="52"/>
        <v>288</v>
      </c>
      <c r="K50" s="21">
        <f t="shared" si="52"/>
        <v>288</v>
      </c>
      <c r="L50" s="21">
        <f t="shared" si="52"/>
        <v>288</v>
      </c>
      <c r="M50" s="21">
        <f t="shared" si="52"/>
        <v>288</v>
      </c>
      <c r="N50" s="21">
        <f t="shared" si="52"/>
        <v>288</v>
      </c>
      <c r="O50" s="21">
        <f t="shared" si="52"/>
        <v>288</v>
      </c>
      <c r="P50" s="21">
        <f t="shared" si="52"/>
        <v>288</v>
      </c>
      <c r="Q50" s="21">
        <f t="shared" si="52"/>
        <v>288</v>
      </c>
      <c r="R50" s="21">
        <f t="shared" si="52"/>
        <v>288</v>
      </c>
      <c r="S50" s="21">
        <f t="shared" si="52"/>
        <v>288</v>
      </c>
      <c r="T50" s="21">
        <f t="shared" si="52"/>
        <v>288</v>
      </c>
      <c r="U50" s="21">
        <f t="shared" si="52"/>
        <v>288</v>
      </c>
      <c r="V50" s="21">
        <f t="shared" si="52"/>
        <v>288</v>
      </c>
      <c r="W50" s="21">
        <f t="shared" si="52"/>
        <v>288</v>
      </c>
      <c r="X50" s="21">
        <f t="shared" si="52"/>
        <v>288</v>
      </c>
      <c r="Y50" s="21">
        <f t="shared" si="52"/>
        <v>288</v>
      </c>
      <c r="Z50" s="21">
        <f t="shared" si="52"/>
        <v>288</v>
      </c>
      <c r="AA50" s="21">
        <f t="shared" si="52"/>
        <v>288</v>
      </c>
      <c r="AB50" s="21">
        <f t="shared" si="52"/>
        <v>288</v>
      </c>
      <c r="AC50" s="21">
        <f t="shared" si="52"/>
        <v>288</v>
      </c>
      <c r="AD50" s="21">
        <f t="shared" si="52"/>
        <v>288</v>
      </c>
      <c r="AE50" s="21">
        <f t="shared" si="52"/>
        <v>288</v>
      </c>
      <c r="AF50" s="21">
        <f t="shared" si="52"/>
        <v>288</v>
      </c>
      <c r="AG50" s="21">
        <f>SUM(B50:AF50)</f>
        <v>8928</v>
      </c>
    </row>
    <row r="51" spans="1:33" x14ac:dyDescent="0.25">
      <c r="A51" s="18" t="s">
        <v>11</v>
      </c>
      <c r="B51" s="21">
        <v>25</v>
      </c>
      <c r="C51" s="21">
        <f>(B51)</f>
        <v>25</v>
      </c>
      <c r="D51" s="21">
        <f t="shared" ref="D51:AF51" si="53">(C51)</f>
        <v>25</v>
      </c>
      <c r="E51" s="21">
        <f t="shared" si="53"/>
        <v>25</v>
      </c>
      <c r="F51" s="21">
        <f t="shared" si="53"/>
        <v>25</v>
      </c>
      <c r="G51" s="21">
        <f t="shared" si="53"/>
        <v>25</v>
      </c>
      <c r="H51" s="21">
        <f t="shared" si="53"/>
        <v>25</v>
      </c>
      <c r="I51" s="21">
        <f t="shared" si="53"/>
        <v>25</v>
      </c>
      <c r="J51" s="21">
        <f t="shared" si="53"/>
        <v>25</v>
      </c>
      <c r="K51" s="21">
        <f t="shared" si="53"/>
        <v>25</v>
      </c>
      <c r="L51" s="21">
        <f t="shared" si="53"/>
        <v>25</v>
      </c>
      <c r="M51" s="21">
        <f t="shared" si="53"/>
        <v>25</v>
      </c>
      <c r="N51" s="21">
        <f t="shared" si="53"/>
        <v>25</v>
      </c>
      <c r="O51" s="21">
        <f t="shared" si="53"/>
        <v>25</v>
      </c>
      <c r="P51" s="21">
        <f t="shared" si="53"/>
        <v>25</v>
      </c>
      <c r="Q51" s="21">
        <f t="shared" si="53"/>
        <v>25</v>
      </c>
      <c r="R51" s="21">
        <f t="shared" si="53"/>
        <v>25</v>
      </c>
      <c r="S51" s="21">
        <f t="shared" si="53"/>
        <v>25</v>
      </c>
      <c r="T51" s="21">
        <f t="shared" si="53"/>
        <v>25</v>
      </c>
      <c r="U51" s="21">
        <f t="shared" si="53"/>
        <v>25</v>
      </c>
      <c r="V51" s="21">
        <f t="shared" si="53"/>
        <v>25</v>
      </c>
      <c r="W51" s="21">
        <f t="shared" si="53"/>
        <v>25</v>
      </c>
      <c r="X51" s="21">
        <f t="shared" si="53"/>
        <v>25</v>
      </c>
      <c r="Y51" s="21">
        <f t="shared" si="53"/>
        <v>25</v>
      </c>
      <c r="Z51" s="21">
        <f t="shared" si="53"/>
        <v>25</v>
      </c>
      <c r="AA51" s="21">
        <f t="shared" si="53"/>
        <v>25</v>
      </c>
      <c r="AB51" s="21">
        <f t="shared" si="53"/>
        <v>25</v>
      </c>
      <c r="AC51" s="21">
        <f t="shared" si="53"/>
        <v>25</v>
      </c>
      <c r="AD51" s="21">
        <f t="shared" si="53"/>
        <v>25</v>
      </c>
      <c r="AE51" s="21">
        <f t="shared" si="53"/>
        <v>25</v>
      </c>
      <c r="AF51" s="21">
        <f t="shared" si="53"/>
        <v>25</v>
      </c>
      <c r="AG51" s="21">
        <f>SUM(B51:AF51)</f>
        <v>775</v>
      </c>
    </row>
    <row r="52" spans="1:33" s="16" customFormat="1" x14ac:dyDescent="0.25">
      <c r="A52" s="18" t="s">
        <v>119</v>
      </c>
      <c r="B52" s="58">
        <f>(B45*365)</f>
        <v>73000</v>
      </c>
      <c r="C52" s="58">
        <f t="shared" ref="C52:AF52" si="54">($B$52*C2)</f>
        <v>73000</v>
      </c>
      <c r="D52" s="58">
        <f t="shared" si="54"/>
        <v>146000</v>
      </c>
      <c r="E52" s="58">
        <f t="shared" si="54"/>
        <v>219000</v>
      </c>
      <c r="F52" s="58">
        <f t="shared" si="54"/>
        <v>292000</v>
      </c>
      <c r="G52" s="58">
        <f t="shared" si="54"/>
        <v>365000</v>
      </c>
      <c r="H52" s="58">
        <f t="shared" si="54"/>
        <v>438000</v>
      </c>
      <c r="I52" s="58">
        <f t="shared" si="54"/>
        <v>511000</v>
      </c>
      <c r="J52" s="58">
        <f t="shared" si="54"/>
        <v>584000</v>
      </c>
      <c r="K52" s="58">
        <f t="shared" si="54"/>
        <v>657000</v>
      </c>
      <c r="L52" s="58">
        <f t="shared" si="54"/>
        <v>730000</v>
      </c>
      <c r="M52" s="58">
        <f t="shared" si="54"/>
        <v>803000</v>
      </c>
      <c r="N52" s="58">
        <f t="shared" si="54"/>
        <v>876000</v>
      </c>
      <c r="O52" s="58">
        <f t="shared" si="54"/>
        <v>949000</v>
      </c>
      <c r="P52" s="58">
        <f t="shared" si="54"/>
        <v>1022000</v>
      </c>
      <c r="Q52" s="58">
        <f t="shared" si="54"/>
        <v>1095000</v>
      </c>
      <c r="R52" s="58">
        <f t="shared" si="54"/>
        <v>1168000</v>
      </c>
      <c r="S52" s="58">
        <f t="shared" si="54"/>
        <v>1241000</v>
      </c>
      <c r="T52" s="58">
        <f t="shared" si="54"/>
        <v>1314000</v>
      </c>
      <c r="U52" s="58">
        <f t="shared" si="54"/>
        <v>1387000</v>
      </c>
      <c r="V52" s="58">
        <f t="shared" si="54"/>
        <v>1460000</v>
      </c>
      <c r="W52" s="58">
        <f t="shared" si="54"/>
        <v>1533000</v>
      </c>
      <c r="X52" s="58">
        <f t="shared" si="54"/>
        <v>1606000</v>
      </c>
      <c r="Y52" s="58">
        <f t="shared" si="54"/>
        <v>1679000</v>
      </c>
      <c r="Z52" s="58">
        <f t="shared" si="54"/>
        <v>1752000</v>
      </c>
      <c r="AA52" s="58">
        <f t="shared" si="54"/>
        <v>1825000</v>
      </c>
      <c r="AB52" s="58">
        <f t="shared" si="54"/>
        <v>1898000</v>
      </c>
      <c r="AC52" s="58">
        <f t="shared" si="54"/>
        <v>1971000</v>
      </c>
      <c r="AD52" s="58">
        <f t="shared" si="54"/>
        <v>2044000</v>
      </c>
      <c r="AE52" s="58">
        <f t="shared" si="54"/>
        <v>2117000</v>
      </c>
      <c r="AF52" s="58">
        <f t="shared" si="54"/>
        <v>2190000</v>
      </c>
      <c r="AG52" s="18"/>
    </row>
    <row r="53" spans="1:33" x14ac:dyDescent="0.25">
      <c r="A53" s="18" t="s">
        <v>91</v>
      </c>
      <c r="B53" s="21">
        <f t="shared" ref="B53:AF53" si="55">SUM(B46+B48+B50+B51)</f>
        <v>876</v>
      </c>
      <c r="C53" s="21">
        <f t="shared" si="55"/>
        <v>313</v>
      </c>
      <c r="D53" s="21">
        <f t="shared" si="55"/>
        <v>313</v>
      </c>
      <c r="E53" s="21">
        <f t="shared" si="55"/>
        <v>821</v>
      </c>
      <c r="F53" s="21">
        <f t="shared" si="55"/>
        <v>313</v>
      </c>
      <c r="G53" s="21">
        <f t="shared" si="55"/>
        <v>313</v>
      </c>
      <c r="H53" s="21">
        <f t="shared" si="55"/>
        <v>821</v>
      </c>
      <c r="I53" s="21">
        <f t="shared" si="55"/>
        <v>313</v>
      </c>
      <c r="J53" s="21">
        <f t="shared" si="55"/>
        <v>313</v>
      </c>
      <c r="K53" s="21">
        <f t="shared" si="55"/>
        <v>821</v>
      </c>
      <c r="L53" s="21">
        <f t="shared" si="55"/>
        <v>313</v>
      </c>
      <c r="M53" s="21">
        <f t="shared" si="55"/>
        <v>313</v>
      </c>
      <c r="N53" s="21">
        <f t="shared" si="55"/>
        <v>821</v>
      </c>
      <c r="O53" s="21">
        <f t="shared" si="55"/>
        <v>313</v>
      </c>
      <c r="P53" s="21">
        <f t="shared" si="55"/>
        <v>313</v>
      </c>
      <c r="Q53" s="21">
        <f t="shared" si="55"/>
        <v>821</v>
      </c>
      <c r="R53" s="21">
        <f t="shared" si="55"/>
        <v>313</v>
      </c>
      <c r="S53" s="21">
        <f t="shared" si="55"/>
        <v>313</v>
      </c>
      <c r="T53" s="21">
        <f t="shared" si="55"/>
        <v>821</v>
      </c>
      <c r="U53" s="21">
        <f t="shared" si="55"/>
        <v>313</v>
      </c>
      <c r="V53" s="21">
        <f t="shared" si="55"/>
        <v>313</v>
      </c>
      <c r="W53" s="21">
        <f t="shared" si="55"/>
        <v>821</v>
      </c>
      <c r="X53" s="21">
        <f t="shared" si="55"/>
        <v>313</v>
      </c>
      <c r="Y53" s="21">
        <f t="shared" si="55"/>
        <v>313</v>
      </c>
      <c r="Z53" s="21">
        <f t="shared" si="55"/>
        <v>821</v>
      </c>
      <c r="AA53" s="21">
        <f t="shared" si="55"/>
        <v>313</v>
      </c>
      <c r="AB53" s="21">
        <f t="shared" si="55"/>
        <v>313</v>
      </c>
      <c r="AC53" s="21">
        <f t="shared" si="55"/>
        <v>821</v>
      </c>
      <c r="AD53" s="21">
        <f t="shared" si="55"/>
        <v>313</v>
      </c>
      <c r="AE53" s="21">
        <f t="shared" si="55"/>
        <v>313</v>
      </c>
      <c r="AF53" s="21">
        <f t="shared" si="55"/>
        <v>821</v>
      </c>
      <c r="AG53" s="18"/>
    </row>
    <row r="54" spans="1:33" x14ac:dyDescent="0.25">
      <c r="A54" s="18" t="s">
        <v>92</v>
      </c>
      <c r="B54" s="21">
        <f>B53</f>
        <v>876</v>
      </c>
      <c r="C54" s="21">
        <f>B54+C53</f>
        <v>1189</v>
      </c>
      <c r="D54" s="21">
        <f t="shared" ref="D54" si="56">C54+D53</f>
        <v>1502</v>
      </c>
      <c r="E54" s="21">
        <f t="shared" ref="E54" si="57">D54+E53</f>
        <v>2323</v>
      </c>
      <c r="F54" s="21">
        <f t="shared" ref="F54" si="58">E54+F53</f>
        <v>2636</v>
      </c>
      <c r="G54" s="21">
        <f t="shared" ref="G54" si="59">F54+G53</f>
        <v>2949</v>
      </c>
      <c r="H54" s="21">
        <f t="shared" ref="H54" si="60">G54+H53</f>
        <v>3770</v>
      </c>
      <c r="I54" s="21">
        <f t="shared" ref="I54" si="61">H54+I53</f>
        <v>4083</v>
      </c>
      <c r="J54" s="21">
        <f t="shared" ref="J54" si="62">I54+J53</f>
        <v>4396</v>
      </c>
      <c r="K54" s="21">
        <f t="shared" ref="K54" si="63">J54+K53</f>
        <v>5217</v>
      </c>
      <c r="L54" s="21">
        <f t="shared" ref="L54" si="64">K54+L53</f>
        <v>5530</v>
      </c>
      <c r="M54" s="21">
        <f t="shared" ref="M54" si="65">L54+M53</f>
        <v>5843</v>
      </c>
      <c r="N54" s="21">
        <f t="shared" ref="N54" si="66">M54+N53</f>
        <v>6664</v>
      </c>
      <c r="O54" s="21">
        <f t="shared" ref="O54" si="67">N54+O53</f>
        <v>6977</v>
      </c>
      <c r="P54" s="21">
        <f t="shared" ref="P54" si="68">O54+P53</f>
        <v>7290</v>
      </c>
      <c r="Q54" s="21">
        <f t="shared" ref="Q54" si="69">P54+Q53</f>
        <v>8111</v>
      </c>
      <c r="R54" s="21">
        <f t="shared" ref="R54" si="70">Q54+R53</f>
        <v>8424</v>
      </c>
      <c r="S54" s="21">
        <f t="shared" ref="S54" si="71">R54+S53</f>
        <v>8737</v>
      </c>
      <c r="T54" s="21">
        <f t="shared" ref="T54" si="72">S54+T53</f>
        <v>9558</v>
      </c>
      <c r="U54" s="21">
        <f t="shared" ref="U54" si="73">T54+U53</f>
        <v>9871</v>
      </c>
      <c r="V54" s="21">
        <f t="shared" ref="V54" si="74">U54+V53</f>
        <v>10184</v>
      </c>
      <c r="W54" s="21">
        <f t="shared" ref="W54" si="75">V54+W53</f>
        <v>11005</v>
      </c>
      <c r="X54" s="21">
        <f t="shared" ref="X54" si="76">W54+X53</f>
        <v>11318</v>
      </c>
      <c r="Y54" s="21">
        <f t="shared" ref="Y54" si="77">X54+Y53</f>
        <v>11631</v>
      </c>
      <c r="Z54" s="21">
        <f t="shared" ref="Z54" si="78">Y54+Z53</f>
        <v>12452</v>
      </c>
      <c r="AA54" s="21">
        <f t="shared" ref="AA54" si="79">Z54+AA53</f>
        <v>12765</v>
      </c>
      <c r="AB54" s="21">
        <f t="shared" ref="AB54" si="80">AA54+AB53</f>
        <v>13078</v>
      </c>
      <c r="AC54" s="21">
        <f t="shared" ref="AC54" si="81">AB54+AC53</f>
        <v>13899</v>
      </c>
      <c r="AD54" s="21">
        <f t="shared" ref="AD54" si="82">AC54+AD53</f>
        <v>14212</v>
      </c>
      <c r="AE54" s="21">
        <f t="shared" ref="AE54" si="83">AD54+AE53</f>
        <v>14525</v>
      </c>
      <c r="AF54" s="21">
        <f t="shared" ref="AF54" si="84">AE54+AF53</f>
        <v>15346</v>
      </c>
      <c r="AG54" s="18"/>
    </row>
    <row r="55" spans="1:33" x14ac:dyDescent="0.25">
      <c r="A55" s="18" t="s">
        <v>93</v>
      </c>
      <c r="B55" s="21">
        <f>SUM(AG46:AG51)</f>
        <v>15394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>
        <f>SUM(AG46:AG51)</f>
        <v>15394</v>
      </c>
    </row>
    <row r="56" spans="1:33" x14ac:dyDescent="0.25">
      <c r="A56" s="18" t="s">
        <v>110</v>
      </c>
      <c r="B56" s="21">
        <f>B54</f>
        <v>876</v>
      </c>
      <c r="C56" s="22">
        <f t="shared" ref="C56:AF56" si="85">SUM(C54/C2)</f>
        <v>1189</v>
      </c>
      <c r="D56" s="22">
        <f t="shared" si="85"/>
        <v>751</v>
      </c>
      <c r="E56" s="22">
        <f t="shared" si="85"/>
        <v>774.33333333333337</v>
      </c>
      <c r="F56" s="22">
        <f t="shared" si="85"/>
        <v>659</v>
      </c>
      <c r="G56" s="22">
        <f t="shared" si="85"/>
        <v>589.79999999999995</v>
      </c>
      <c r="H56" s="22">
        <f t="shared" si="85"/>
        <v>628.33333333333337</v>
      </c>
      <c r="I56" s="22">
        <f t="shared" si="85"/>
        <v>583.28571428571433</v>
      </c>
      <c r="J56" s="22">
        <f t="shared" si="85"/>
        <v>549.5</v>
      </c>
      <c r="K56" s="22">
        <f t="shared" si="85"/>
        <v>579.66666666666663</v>
      </c>
      <c r="L56" s="22">
        <f t="shared" si="85"/>
        <v>553</v>
      </c>
      <c r="M56" s="22">
        <f t="shared" si="85"/>
        <v>531.18181818181813</v>
      </c>
      <c r="N56" s="22">
        <f t="shared" si="85"/>
        <v>555.33333333333337</v>
      </c>
      <c r="O56" s="22">
        <f t="shared" si="85"/>
        <v>536.69230769230774</v>
      </c>
      <c r="P56" s="22">
        <f t="shared" si="85"/>
        <v>520.71428571428567</v>
      </c>
      <c r="Q56" s="22">
        <f t="shared" si="85"/>
        <v>540.73333333333335</v>
      </c>
      <c r="R56" s="22">
        <f t="shared" si="85"/>
        <v>526.5</v>
      </c>
      <c r="S56" s="22">
        <f t="shared" si="85"/>
        <v>513.94117647058829</v>
      </c>
      <c r="T56" s="22">
        <f t="shared" si="85"/>
        <v>531</v>
      </c>
      <c r="U56" s="22">
        <f t="shared" si="85"/>
        <v>519.52631578947364</v>
      </c>
      <c r="V56" s="22">
        <f t="shared" si="85"/>
        <v>509.2</v>
      </c>
      <c r="W56" s="22">
        <f t="shared" si="85"/>
        <v>524.04761904761904</v>
      </c>
      <c r="X56" s="22">
        <f t="shared" si="85"/>
        <v>514.4545454545455</v>
      </c>
      <c r="Y56" s="22">
        <f t="shared" si="85"/>
        <v>505.69565217391306</v>
      </c>
      <c r="Z56" s="22">
        <f t="shared" si="85"/>
        <v>518.83333333333337</v>
      </c>
      <c r="AA56" s="22">
        <f t="shared" si="85"/>
        <v>510.6</v>
      </c>
      <c r="AB56" s="22">
        <f t="shared" si="85"/>
        <v>503</v>
      </c>
      <c r="AC56" s="22">
        <f t="shared" si="85"/>
        <v>514.77777777777783</v>
      </c>
      <c r="AD56" s="22">
        <f t="shared" si="85"/>
        <v>507.57142857142856</v>
      </c>
      <c r="AE56" s="22">
        <f t="shared" si="85"/>
        <v>500.86206896551727</v>
      </c>
      <c r="AF56" s="22">
        <f t="shared" si="85"/>
        <v>511.53333333333336</v>
      </c>
      <c r="AG56" s="21"/>
    </row>
    <row r="57" spans="1:33" s="67" customFormat="1" x14ac:dyDescent="0.25">
      <c r="A57" s="66" t="s">
        <v>108</v>
      </c>
      <c r="B57" s="66">
        <f>(B54/B52)</f>
        <v>1.2E-2</v>
      </c>
      <c r="C57" s="66">
        <f t="shared" ref="C57:AF57" si="86">(C54/C52)</f>
        <v>1.6287671232876711E-2</v>
      </c>
      <c r="D57" s="66">
        <f t="shared" si="86"/>
        <v>1.0287671232876713E-2</v>
      </c>
      <c r="E57" s="66">
        <f t="shared" si="86"/>
        <v>1.0607305936073059E-2</v>
      </c>
      <c r="F57" s="66">
        <f t="shared" si="86"/>
        <v>9.027397260273972E-3</v>
      </c>
      <c r="G57" s="66">
        <f t="shared" si="86"/>
        <v>8.0794520547945205E-3</v>
      </c>
      <c r="H57" s="66">
        <f t="shared" si="86"/>
        <v>8.6073059360730602E-3</v>
      </c>
      <c r="I57" s="66">
        <f t="shared" si="86"/>
        <v>7.9902152641878662E-3</v>
      </c>
      <c r="J57" s="66">
        <f t="shared" si="86"/>
        <v>7.5273972602739724E-3</v>
      </c>
      <c r="K57" s="66">
        <f t="shared" si="86"/>
        <v>7.9406392694063924E-3</v>
      </c>
      <c r="L57" s="66">
        <f t="shared" si="86"/>
        <v>7.5753424657534251E-3</v>
      </c>
      <c r="M57" s="66">
        <f t="shared" si="86"/>
        <v>7.2764632627646325E-3</v>
      </c>
      <c r="N57" s="66">
        <f t="shared" si="86"/>
        <v>7.6073059360730593E-3</v>
      </c>
      <c r="O57" s="66">
        <f t="shared" si="86"/>
        <v>7.3519494204425714E-3</v>
      </c>
      <c r="P57" s="66">
        <f t="shared" si="86"/>
        <v>7.1330724070450095E-3</v>
      </c>
      <c r="Q57" s="66">
        <f t="shared" si="86"/>
        <v>7.4073059360730597E-3</v>
      </c>
      <c r="R57" s="66">
        <f t="shared" si="86"/>
        <v>7.2123287671232873E-3</v>
      </c>
      <c r="S57" s="66">
        <f t="shared" si="86"/>
        <v>7.0402900886381951E-3</v>
      </c>
      <c r="T57" s="66">
        <f t="shared" si="86"/>
        <v>7.2739726027397263E-3</v>
      </c>
      <c r="U57" s="66">
        <f t="shared" si="86"/>
        <v>7.1167988464311462E-3</v>
      </c>
      <c r="V57" s="66">
        <f t="shared" si="86"/>
        <v>6.9753424657534244E-3</v>
      </c>
      <c r="W57" s="66">
        <f t="shared" si="86"/>
        <v>7.178734507501631E-3</v>
      </c>
      <c r="X57" s="66">
        <f t="shared" si="86"/>
        <v>7.0473225404732252E-3</v>
      </c>
      <c r="Y57" s="66">
        <f t="shared" si="86"/>
        <v>6.9273377010125071E-3</v>
      </c>
      <c r="Z57" s="66">
        <f t="shared" si="86"/>
        <v>7.1073059360730597E-3</v>
      </c>
      <c r="AA57" s="66">
        <f t="shared" si="86"/>
        <v>6.9945205479452054E-3</v>
      </c>
      <c r="AB57" s="66">
        <f t="shared" si="86"/>
        <v>6.8904109589041094E-3</v>
      </c>
      <c r="AC57" s="66">
        <f t="shared" si="86"/>
        <v>7.0517503805175036E-3</v>
      </c>
      <c r="AD57" s="66">
        <f t="shared" si="86"/>
        <v>6.9530332681017612E-3</v>
      </c>
      <c r="AE57" s="66">
        <f t="shared" si="86"/>
        <v>6.8611242324043455E-3</v>
      </c>
      <c r="AF57" s="66">
        <f t="shared" si="86"/>
        <v>7.0073059360730595E-3</v>
      </c>
      <c r="AG57" s="66"/>
    </row>
    <row r="58" spans="1:33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33" x14ac:dyDescent="0.25">
      <c r="A59" s="23" t="s">
        <v>62</v>
      </c>
      <c r="B59" s="24"/>
    </row>
    <row r="60" spans="1:33" x14ac:dyDescent="0.25">
      <c r="A60" s="24" t="s">
        <v>135</v>
      </c>
      <c r="B60" s="25">
        <f>(B22/B18)</f>
        <v>7.771428571428574</v>
      </c>
    </row>
    <row r="61" spans="1:33" x14ac:dyDescent="0.25">
      <c r="A61" s="24" t="s">
        <v>140</v>
      </c>
      <c r="B61" s="25">
        <f>(B38/B34)</f>
        <v>2.1561827956989243</v>
      </c>
    </row>
    <row r="62" spans="1:33" x14ac:dyDescent="0.25">
      <c r="A62" s="24" t="s">
        <v>142</v>
      </c>
      <c r="B62" s="25">
        <f>(B55/B45)</f>
        <v>76.97</v>
      </c>
    </row>
    <row r="63" spans="1:33" x14ac:dyDescent="0.25">
      <c r="B63" s="5"/>
    </row>
    <row r="64" spans="1:33" x14ac:dyDescent="0.25">
      <c r="A64" s="28" t="s">
        <v>63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30"/>
      <c r="AA64" s="29"/>
      <c r="AB64" s="29"/>
      <c r="AC64" s="29"/>
      <c r="AD64" s="29"/>
      <c r="AE64" s="29"/>
      <c r="AF64" s="29"/>
      <c r="AG64" s="29"/>
    </row>
    <row r="65" spans="1:33" x14ac:dyDescent="0.25">
      <c r="A65" s="29" t="s">
        <v>25</v>
      </c>
      <c r="B65" s="29">
        <v>3</v>
      </c>
      <c r="C65" s="29">
        <f>(B65)</f>
        <v>3</v>
      </c>
      <c r="D65" s="29">
        <f t="shared" ref="D65:AF65" si="87">(C65)</f>
        <v>3</v>
      </c>
      <c r="E65" s="29">
        <f t="shared" si="87"/>
        <v>3</v>
      </c>
      <c r="F65" s="29">
        <f t="shared" si="87"/>
        <v>3</v>
      </c>
      <c r="G65" s="29">
        <f t="shared" si="87"/>
        <v>3</v>
      </c>
      <c r="H65" s="29">
        <f t="shared" si="87"/>
        <v>3</v>
      </c>
      <c r="I65" s="29">
        <f t="shared" si="87"/>
        <v>3</v>
      </c>
      <c r="J65" s="29">
        <f t="shared" si="87"/>
        <v>3</v>
      </c>
      <c r="K65" s="29">
        <f t="shared" si="87"/>
        <v>3</v>
      </c>
      <c r="L65" s="29">
        <f t="shared" si="87"/>
        <v>3</v>
      </c>
      <c r="M65" s="29">
        <f t="shared" si="87"/>
        <v>3</v>
      </c>
      <c r="N65" s="29">
        <f t="shared" si="87"/>
        <v>3</v>
      </c>
      <c r="O65" s="29">
        <f t="shared" si="87"/>
        <v>3</v>
      </c>
      <c r="P65" s="29">
        <f t="shared" si="87"/>
        <v>3</v>
      </c>
      <c r="Q65" s="29">
        <f t="shared" si="87"/>
        <v>3</v>
      </c>
      <c r="R65" s="29">
        <f t="shared" si="87"/>
        <v>3</v>
      </c>
      <c r="S65" s="29">
        <f t="shared" si="87"/>
        <v>3</v>
      </c>
      <c r="T65" s="29">
        <f t="shared" si="87"/>
        <v>3</v>
      </c>
      <c r="U65" s="29">
        <f t="shared" si="87"/>
        <v>3</v>
      </c>
      <c r="V65" s="29">
        <f t="shared" si="87"/>
        <v>3</v>
      </c>
      <c r="W65" s="29">
        <f t="shared" si="87"/>
        <v>3</v>
      </c>
      <c r="X65" s="29">
        <f t="shared" si="87"/>
        <v>3</v>
      </c>
      <c r="Y65" s="29">
        <f t="shared" si="87"/>
        <v>3</v>
      </c>
      <c r="Z65" s="29">
        <f t="shared" si="87"/>
        <v>3</v>
      </c>
      <c r="AA65" s="29">
        <f t="shared" si="87"/>
        <v>3</v>
      </c>
      <c r="AB65" s="29">
        <f t="shared" si="87"/>
        <v>3</v>
      </c>
      <c r="AC65" s="29">
        <f t="shared" si="87"/>
        <v>3</v>
      </c>
      <c r="AD65" s="29">
        <f t="shared" si="87"/>
        <v>3</v>
      </c>
      <c r="AE65" s="29">
        <f t="shared" si="87"/>
        <v>3</v>
      </c>
      <c r="AF65" s="29">
        <f t="shared" si="87"/>
        <v>3</v>
      </c>
      <c r="AG65" s="29"/>
    </row>
    <row r="66" spans="1:33" x14ac:dyDescent="0.25">
      <c r="A66" s="29" t="s">
        <v>8</v>
      </c>
      <c r="B66" s="29">
        <f t="shared" ref="B66:AF66" si="88">((B4*2)*B65)</f>
        <v>1200</v>
      </c>
      <c r="C66" s="29">
        <f t="shared" si="88"/>
        <v>1200</v>
      </c>
      <c r="D66" s="29">
        <f t="shared" si="88"/>
        <v>1200</v>
      </c>
      <c r="E66" s="29">
        <f t="shared" si="88"/>
        <v>1200</v>
      </c>
      <c r="F66" s="29">
        <f t="shared" si="88"/>
        <v>1200</v>
      </c>
      <c r="G66" s="29">
        <f t="shared" si="88"/>
        <v>1200</v>
      </c>
      <c r="H66" s="29">
        <f t="shared" si="88"/>
        <v>1200</v>
      </c>
      <c r="I66" s="29">
        <f t="shared" si="88"/>
        <v>1200</v>
      </c>
      <c r="J66" s="29">
        <f t="shared" si="88"/>
        <v>1200</v>
      </c>
      <c r="K66" s="29">
        <f t="shared" si="88"/>
        <v>1200</v>
      </c>
      <c r="L66" s="29">
        <f t="shared" si="88"/>
        <v>1200</v>
      </c>
      <c r="M66" s="29">
        <f t="shared" si="88"/>
        <v>1200</v>
      </c>
      <c r="N66" s="29">
        <f t="shared" si="88"/>
        <v>1200</v>
      </c>
      <c r="O66" s="29">
        <f t="shared" si="88"/>
        <v>1200</v>
      </c>
      <c r="P66" s="29">
        <f t="shared" si="88"/>
        <v>1200</v>
      </c>
      <c r="Q66" s="29">
        <f t="shared" si="88"/>
        <v>1200</v>
      </c>
      <c r="R66" s="29">
        <f t="shared" si="88"/>
        <v>1200</v>
      </c>
      <c r="S66" s="29">
        <f t="shared" si="88"/>
        <v>1200</v>
      </c>
      <c r="T66" s="29">
        <f t="shared" si="88"/>
        <v>1200</v>
      </c>
      <c r="U66" s="29">
        <f t="shared" si="88"/>
        <v>1200</v>
      </c>
      <c r="V66" s="29">
        <f t="shared" si="88"/>
        <v>1200</v>
      </c>
      <c r="W66" s="29">
        <f t="shared" si="88"/>
        <v>1200</v>
      </c>
      <c r="X66" s="29">
        <f t="shared" si="88"/>
        <v>1200</v>
      </c>
      <c r="Y66" s="29">
        <f t="shared" si="88"/>
        <v>1200</v>
      </c>
      <c r="Z66" s="29">
        <f t="shared" si="88"/>
        <v>1200</v>
      </c>
      <c r="AA66" s="29">
        <f t="shared" si="88"/>
        <v>1200</v>
      </c>
      <c r="AB66" s="29">
        <f t="shared" si="88"/>
        <v>1200</v>
      </c>
      <c r="AC66" s="29">
        <f t="shared" si="88"/>
        <v>1200</v>
      </c>
      <c r="AD66" s="29">
        <f t="shared" si="88"/>
        <v>1200</v>
      </c>
      <c r="AE66" s="29">
        <f t="shared" si="88"/>
        <v>1200</v>
      </c>
      <c r="AF66" s="29">
        <f t="shared" si="88"/>
        <v>1200</v>
      </c>
      <c r="AG66" s="29"/>
    </row>
    <row r="67" spans="1:33" x14ac:dyDescent="0.25">
      <c r="A67" s="29" t="s">
        <v>9</v>
      </c>
      <c r="B67" s="29">
        <f>ROUNDUP(((B66/215)*2),0)</f>
        <v>12</v>
      </c>
      <c r="C67" s="29">
        <v>0</v>
      </c>
      <c r="D67" s="29">
        <v>0</v>
      </c>
      <c r="E67" s="29">
        <f>ROUNDUP(((E66/215)*2),0)</f>
        <v>12</v>
      </c>
      <c r="F67" s="29">
        <v>0</v>
      </c>
      <c r="G67" s="29">
        <v>0</v>
      </c>
      <c r="H67" s="29">
        <f>ROUNDUP(((H66/215)*2),0)</f>
        <v>12</v>
      </c>
      <c r="I67" s="29">
        <v>0</v>
      </c>
      <c r="J67" s="29">
        <v>0</v>
      </c>
      <c r="K67" s="29">
        <f>ROUNDUP(((K66/215)*2),0)</f>
        <v>12</v>
      </c>
      <c r="L67" s="29">
        <v>0</v>
      </c>
      <c r="M67" s="29">
        <v>0</v>
      </c>
      <c r="N67" s="29">
        <f>ROUNDUP(((N66/215)*2),0)</f>
        <v>12</v>
      </c>
      <c r="O67" s="29">
        <v>0</v>
      </c>
      <c r="P67" s="29">
        <v>0</v>
      </c>
      <c r="Q67" s="29">
        <f>ROUNDUP(((Q66/215)*2),0)</f>
        <v>12</v>
      </c>
      <c r="R67" s="29">
        <v>0</v>
      </c>
      <c r="S67" s="29">
        <v>0</v>
      </c>
      <c r="T67" s="29">
        <f>ROUNDUP(((T66/215)*2),0)</f>
        <v>12</v>
      </c>
      <c r="U67" s="29">
        <v>0</v>
      </c>
      <c r="V67" s="29">
        <v>0</v>
      </c>
      <c r="W67" s="29">
        <f>ROUNDUP(((W66/215)*2),0)</f>
        <v>12</v>
      </c>
      <c r="X67" s="29">
        <v>0</v>
      </c>
      <c r="Y67" s="29">
        <v>0</v>
      </c>
      <c r="Z67" s="29">
        <f>ROUNDUP(((Z66/215)*2),0)</f>
        <v>12</v>
      </c>
      <c r="AA67" s="29">
        <v>0</v>
      </c>
      <c r="AB67" s="29">
        <v>0</v>
      </c>
      <c r="AC67" s="29">
        <f>ROUNDUP(((AC66/215)*2),0)</f>
        <v>12</v>
      </c>
      <c r="AD67" s="29">
        <v>0</v>
      </c>
      <c r="AE67" s="29">
        <v>0</v>
      </c>
      <c r="AF67" s="29">
        <f>ROUNDUP(((AF66/215)*2),0)</f>
        <v>12</v>
      </c>
      <c r="AG67" s="80">
        <f>SUM(B67:AF67)</f>
        <v>132</v>
      </c>
    </row>
    <row r="68" spans="1:33" x14ac:dyDescent="0.25">
      <c r="A68" s="29" t="s">
        <v>109</v>
      </c>
      <c r="B68" s="29">
        <f>(B66/2)</f>
        <v>600</v>
      </c>
      <c r="C68" s="29">
        <f t="shared" ref="C68:AF68" si="89">(C66/2)</f>
        <v>600</v>
      </c>
      <c r="D68" s="29">
        <f t="shared" si="89"/>
        <v>600</v>
      </c>
      <c r="E68" s="29">
        <f t="shared" si="89"/>
        <v>600</v>
      </c>
      <c r="F68" s="29">
        <f t="shared" si="89"/>
        <v>600</v>
      </c>
      <c r="G68" s="29">
        <f t="shared" si="89"/>
        <v>600</v>
      </c>
      <c r="H68" s="29">
        <f t="shared" si="89"/>
        <v>600</v>
      </c>
      <c r="I68" s="29">
        <f t="shared" si="89"/>
        <v>600</v>
      </c>
      <c r="J68" s="29">
        <f t="shared" si="89"/>
        <v>600</v>
      </c>
      <c r="K68" s="29">
        <f t="shared" si="89"/>
        <v>600</v>
      </c>
      <c r="L68" s="29">
        <f t="shared" si="89"/>
        <v>600</v>
      </c>
      <c r="M68" s="29">
        <f t="shared" si="89"/>
        <v>600</v>
      </c>
      <c r="N68" s="29">
        <f t="shared" si="89"/>
        <v>600</v>
      </c>
      <c r="O68" s="29">
        <f t="shared" si="89"/>
        <v>600</v>
      </c>
      <c r="P68" s="29">
        <f t="shared" si="89"/>
        <v>600</v>
      </c>
      <c r="Q68" s="29">
        <f t="shared" si="89"/>
        <v>600</v>
      </c>
      <c r="R68" s="29">
        <f t="shared" si="89"/>
        <v>600</v>
      </c>
      <c r="S68" s="29">
        <f t="shared" si="89"/>
        <v>600</v>
      </c>
      <c r="T68" s="29">
        <f t="shared" si="89"/>
        <v>600</v>
      </c>
      <c r="U68" s="29">
        <f t="shared" si="89"/>
        <v>600</v>
      </c>
      <c r="V68" s="29">
        <f t="shared" si="89"/>
        <v>600</v>
      </c>
      <c r="W68" s="29">
        <f t="shared" si="89"/>
        <v>600</v>
      </c>
      <c r="X68" s="29">
        <f t="shared" si="89"/>
        <v>600</v>
      </c>
      <c r="Y68" s="29">
        <f t="shared" si="89"/>
        <v>600</v>
      </c>
      <c r="Z68" s="29">
        <f t="shared" si="89"/>
        <v>600</v>
      </c>
      <c r="AA68" s="29">
        <f t="shared" si="89"/>
        <v>600</v>
      </c>
      <c r="AB68" s="29">
        <f t="shared" si="89"/>
        <v>600</v>
      </c>
      <c r="AC68" s="29">
        <f t="shared" si="89"/>
        <v>600</v>
      </c>
      <c r="AD68" s="29">
        <f t="shared" si="89"/>
        <v>600</v>
      </c>
      <c r="AE68" s="29">
        <f t="shared" si="89"/>
        <v>600</v>
      </c>
      <c r="AF68" s="29">
        <f t="shared" si="89"/>
        <v>600</v>
      </c>
      <c r="AG68" s="31"/>
    </row>
    <row r="69" spans="1:33" x14ac:dyDescent="0.25">
      <c r="A69" s="29" t="s">
        <v>123</v>
      </c>
      <c r="B69" s="32">
        <f>(B67*97)</f>
        <v>1164</v>
      </c>
      <c r="C69" s="29">
        <f t="shared" ref="C69:AF69" si="90">(C67*97)</f>
        <v>0</v>
      </c>
      <c r="D69" s="29">
        <f t="shared" si="90"/>
        <v>0</v>
      </c>
      <c r="E69" s="32">
        <f t="shared" si="90"/>
        <v>1164</v>
      </c>
      <c r="F69" s="29">
        <f t="shared" si="90"/>
        <v>0</v>
      </c>
      <c r="G69" s="29">
        <f t="shared" si="90"/>
        <v>0</v>
      </c>
      <c r="H69" s="32">
        <f t="shared" si="90"/>
        <v>1164</v>
      </c>
      <c r="I69" s="29">
        <f t="shared" si="90"/>
        <v>0</v>
      </c>
      <c r="J69" s="29">
        <f t="shared" si="90"/>
        <v>0</v>
      </c>
      <c r="K69" s="32">
        <f t="shared" si="90"/>
        <v>1164</v>
      </c>
      <c r="L69" s="29">
        <f t="shared" si="90"/>
        <v>0</v>
      </c>
      <c r="M69" s="29">
        <f t="shared" si="90"/>
        <v>0</v>
      </c>
      <c r="N69" s="32">
        <f t="shared" si="90"/>
        <v>1164</v>
      </c>
      <c r="O69" s="29">
        <f t="shared" si="90"/>
        <v>0</v>
      </c>
      <c r="P69" s="29">
        <f t="shared" si="90"/>
        <v>0</v>
      </c>
      <c r="Q69" s="32">
        <f t="shared" si="90"/>
        <v>1164</v>
      </c>
      <c r="R69" s="29">
        <f t="shared" si="90"/>
        <v>0</v>
      </c>
      <c r="S69" s="29">
        <f t="shared" si="90"/>
        <v>0</v>
      </c>
      <c r="T69" s="32">
        <f t="shared" si="90"/>
        <v>1164</v>
      </c>
      <c r="U69" s="29">
        <f t="shared" si="90"/>
        <v>0</v>
      </c>
      <c r="V69" s="29">
        <f t="shared" si="90"/>
        <v>0</v>
      </c>
      <c r="W69" s="32">
        <f t="shared" si="90"/>
        <v>1164</v>
      </c>
      <c r="X69" s="29">
        <f t="shared" si="90"/>
        <v>0</v>
      </c>
      <c r="Y69" s="29">
        <f t="shared" si="90"/>
        <v>0</v>
      </c>
      <c r="Z69" s="32">
        <f t="shared" si="90"/>
        <v>1164</v>
      </c>
      <c r="AA69" s="29">
        <f t="shared" si="90"/>
        <v>0</v>
      </c>
      <c r="AB69" s="31">
        <f t="shared" si="90"/>
        <v>0</v>
      </c>
      <c r="AC69" s="32">
        <f t="shared" si="90"/>
        <v>1164</v>
      </c>
      <c r="AD69" s="29">
        <f t="shared" si="90"/>
        <v>0</v>
      </c>
      <c r="AE69" s="31">
        <f t="shared" si="90"/>
        <v>0</v>
      </c>
      <c r="AF69" s="32">
        <f t="shared" si="90"/>
        <v>1164</v>
      </c>
      <c r="AG69" s="32">
        <f>SUM(B69:AF69)</f>
        <v>12804</v>
      </c>
    </row>
    <row r="70" spans="1:33" x14ac:dyDescent="0.25">
      <c r="A70" s="29" t="s">
        <v>14</v>
      </c>
      <c r="B70" s="29">
        <f>B67*5</f>
        <v>60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/>
    </row>
    <row r="71" spans="1:33" x14ac:dyDescent="0.25">
      <c r="A71" s="29" t="s">
        <v>6</v>
      </c>
      <c r="B71" s="32">
        <f>B70*2.75</f>
        <v>165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32">
        <f>SUM(B71:AF71)</f>
        <v>165</v>
      </c>
    </row>
    <row r="72" spans="1:33" x14ac:dyDescent="0.25">
      <c r="A72" s="29" t="s">
        <v>133</v>
      </c>
      <c r="B72" s="32">
        <f>(6*12)</f>
        <v>72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48</v>
      </c>
    </row>
    <row r="73" spans="1:33" s="26" customFormat="1" x14ac:dyDescent="0.25">
      <c r="A73" s="29" t="s">
        <v>10</v>
      </c>
      <c r="B73" s="32">
        <f>(4*12*12)</f>
        <v>576</v>
      </c>
      <c r="C73" s="32">
        <f>(B73)</f>
        <v>576</v>
      </c>
      <c r="D73" s="32">
        <f t="shared" ref="D73" si="91">(C73)</f>
        <v>576</v>
      </c>
      <c r="E73" s="32">
        <f t="shared" ref="E73" si="92">(D73)</f>
        <v>576</v>
      </c>
      <c r="F73" s="32">
        <f t="shared" ref="F73" si="93">(E73)</f>
        <v>576</v>
      </c>
      <c r="G73" s="32">
        <f t="shared" ref="G73" si="94">(F73)</f>
        <v>576</v>
      </c>
      <c r="H73" s="32">
        <f t="shared" ref="H73" si="95">(G73)</f>
        <v>576</v>
      </c>
      <c r="I73" s="32">
        <f t="shared" ref="I73" si="96">(H73)</f>
        <v>576</v>
      </c>
      <c r="J73" s="32">
        <f t="shared" ref="J73" si="97">(I73)</f>
        <v>576</v>
      </c>
      <c r="K73" s="32">
        <f t="shared" ref="K73" si="98">(J73)</f>
        <v>576</v>
      </c>
      <c r="L73" s="32">
        <f t="shared" ref="L73" si="99">(K73)</f>
        <v>576</v>
      </c>
      <c r="M73" s="32">
        <f t="shared" ref="M73" si="100">(L73)</f>
        <v>576</v>
      </c>
      <c r="N73" s="32">
        <f t="shared" ref="N73" si="101">(M73)</f>
        <v>576</v>
      </c>
      <c r="O73" s="32">
        <f t="shared" ref="O73" si="102">(N73)</f>
        <v>576</v>
      </c>
      <c r="P73" s="32">
        <f t="shared" ref="P73" si="103">(O73)</f>
        <v>576</v>
      </c>
      <c r="Q73" s="32">
        <f t="shared" ref="Q73" si="104">(P73)</f>
        <v>576</v>
      </c>
      <c r="R73" s="32">
        <f t="shared" ref="R73" si="105">(Q73)</f>
        <v>576</v>
      </c>
      <c r="S73" s="32">
        <f t="shared" ref="S73" si="106">(R73)</f>
        <v>576</v>
      </c>
      <c r="T73" s="32">
        <f t="shared" ref="T73" si="107">(S73)</f>
        <v>576</v>
      </c>
      <c r="U73" s="32">
        <f t="shared" ref="U73" si="108">(T73)</f>
        <v>576</v>
      </c>
      <c r="V73" s="32">
        <f t="shared" ref="V73" si="109">(U73)</f>
        <v>576</v>
      </c>
      <c r="W73" s="32">
        <f t="shared" ref="W73" si="110">(V73)</f>
        <v>576</v>
      </c>
      <c r="X73" s="32">
        <f t="shared" ref="X73" si="111">(W73)</f>
        <v>576</v>
      </c>
      <c r="Y73" s="32">
        <f t="shared" ref="Y73" si="112">(X73)</f>
        <v>576</v>
      </c>
      <c r="Z73" s="32">
        <f t="shared" ref="Z73" si="113">(Y73)</f>
        <v>576</v>
      </c>
      <c r="AA73" s="32">
        <f t="shared" ref="AA73" si="114">(Z73)</f>
        <v>576</v>
      </c>
      <c r="AB73" s="32">
        <f t="shared" ref="AB73" si="115">(AA73)</f>
        <v>576</v>
      </c>
      <c r="AC73" s="32">
        <f t="shared" ref="AC73" si="116">(AB73)</f>
        <v>576</v>
      </c>
      <c r="AD73" s="32">
        <f t="shared" ref="AD73" si="117">(AC73)</f>
        <v>576</v>
      </c>
      <c r="AE73" s="32">
        <f t="shared" ref="AE73" si="118">(AD73)</f>
        <v>576</v>
      </c>
      <c r="AF73" s="32">
        <f t="shared" ref="AF73" si="119">(AE73)</f>
        <v>576</v>
      </c>
      <c r="AG73" s="32">
        <f>SUM(B73:AF73)</f>
        <v>17856</v>
      </c>
    </row>
    <row r="74" spans="1:33" x14ac:dyDescent="0.25">
      <c r="A74" s="29" t="s">
        <v>11</v>
      </c>
      <c r="B74" s="32">
        <v>25</v>
      </c>
      <c r="C74" s="32">
        <f>(B74)</f>
        <v>25</v>
      </c>
      <c r="D74" s="32">
        <f t="shared" ref="D74:AF74" si="120">(C74)</f>
        <v>25</v>
      </c>
      <c r="E74" s="32">
        <f t="shared" si="120"/>
        <v>25</v>
      </c>
      <c r="F74" s="32">
        <f t="shared" si="120"/>
        <v>25</v>
      </c>
      <c r="G74" s="32">
        <f t="shared" si="120"/>
        <v>25</v>
      </c>
      <c r="H74" s="32">
        <f t="shared" si="120"/>
        <v>25</v>
      </c>
      <c r="I74" s="32">
        <f t="shared" si="120"/>
        <v>25</v>
      </c>
      <c r="J74" s="32">
        <f t="shared" si="120"/>
        <v>25</v>
      </c>
      <c r="K74" s="32">
        <f t="shared" si="120"/>
        <v>25</v>
      </c>
      <c r="L74" s="32">
        <f t="shared" si="120"/>
        <v>25</v>
      </c>
      <c r="M74" s="32">
        <f t="shared" si="120"/>
        <v>25</v>
      </c>
      <c r="N74" s="32">
        <f t="shared" si="120"/>
        <v>25</v>
      </c>
      <c r="O74" s="32">
        <f t="shared" si="120"/>
        <v>25</v>
      </c>
      <c r="P74" s="32">
        <f t="shared" si="120"/>
        <v>25</v>
      </c>
      <c r="Q74" s="32">
        <f t="shared" si="120"/>
        <v>25</v>
      </c>
      <c r="R74" s="32">
        <f t="shared" si="120"/>
        <v>25</v>
      </c>
      <c r="S74" s="32">
        <f t="shared" si="120"/>
        <v>25</v>
      </c>
      <c r="T74" s="32">
        <f t="shared" si="120"/>
        <v>25</v>
      </c>
      <c r="U74" s="32">
        <f t="shared" si="120"/>
        <v>25</v>
      </c>
      <c r="V74" s="32">
        <f t="shared" si="120"/>
        <v>25</v>
      </c>
      <c r="W74" s="32">
        <f t="shared" si="120"/>
        <v>25</v>
      </c>
      <c r="X74" s="32">
        <f t="shared" si="120"/>
        <v>25</v>
      </c>
      <c r="Y74" s="32">
        <f t="shared" si="120"/>
        <v>25</v>
      </c>
      <c r="Z74" s="32">
        <f t="shared" si="120"/>
        <v>25</v>
      </c>
      <c r="AA74" s="32">
        <f t="shared" si="120"/>
        <v>25</v>
      </c>
      <c r="AB74" s="32">
        <f t="shared" si="120"/>
        <v>25</v>
      </c>
      <c r="AC74" s="32">
        <f t="shared" si="120"/>
        <v>25</v>
      </c>
      <c r="AD74" s="32">
        <f t="shared" si="120"/>
        <v>25</v>
      </c>
      <c r="AE74" s="32">
        <f t="shared" si="120"/>
        <v>25</v>
      </c>
      <c r="AF74" s="32">
        <f t="shared" si="120"/>
        <v>25</v>
      </c>
      <c r="AG74" s="32">
        <f>SUM(B74:AF74)</f>
        <v>775</v>
      </c>
    </row>
    <row r="75" spans="1:33" s="26" customFormat="1" x14ac:dyDescent="0.25">
      <c r="A75" s="29" t="s">
        <v>119</v>
      </c>
      <c r="B75" s="62">
        <f>(B66/2)</f>
        <v>600</v>
      </c>
      <c r="C75" s="62">
        <f t="shared" ref="C75:AF75" si="121">($B$75*C2)</f>
        <v>600</v>
      </c>
      <c r="D75" s="62">
        <f t="shared" si="121"/>
        <v>1200</v>
      </c>
      <c r="E75" s="62">
        <f t="shared" si="121"/>
        <v>1800</v>
      </c>
      <c r="F75" s="62">
        <f t="shared" si="121"/>
        <v>2400</v>
      </c>
      <c r="G75" s="62">
        <f t="shared" si="121"/>
        <v>3000</v>
      </c>
      <c r="H75" s="62">
        <f t="shared" si="121"/>
        <v>3600</v>
      </c>
      <c r="I75" s="62">
        <f t="shared" si="121"/>
        <v>4200</v>
      </c>
      <c r="J75" s="62">
        <f t="shared" si="121"/>
        <v>4800</v>
      </c>
      <c r="K75" s="62">
        <f t="shared" si="121"/>
        <v>5400</v>
      </c>
      <c r="L75" s="62">
        <f t="shared" si="121"/>
        <v>6000</v>
      </c>
      <c r="M75" s="62">
        <f t="shared" si="121"/>
        <v>6600</v>
      </c>
      <c r="N75" s="62">
        <f t="shared" si="121"/>
        <v>7200</v>
      </c>
      <c r="O75" s="62">
        <f t="shared" si="121"/>
        <v>7800</v>
      </c>
      <c r="P75" s="62">
        <f t="shared" si="121"/>
        <v>8400</v>
      </c>
      <c r="Q75" s="62">
        <f t="shared" si="121"/>
        <v>9000</v>
      </c>
      <c r="R75" s="62">
        <f t="shared" si="121"/>
        <v>9600</v>
      </c>
      <c r="S75" s="62">
        <f t="shared" si="121"/>
        <v>10200</v>
      </c>
      <c r="T75" s="62">
        <f t="shared" si="121"/>
        <v>10800</v>
      </c>
      <c r="U75" s="62">
        <f t="shared" si="121"/>
        <v>11400</v>
      </c>
      <c r="V75" s="62">
        <f t="shared" si="121"/>
        <v>12000</v>
      </c>
      <c r="W75" s="62">
        <f t="shared" si="121"/>
        <v>12600</v>
      </c>
      <c r="X75" s="62">
        <f t="shared" si="121"/>
        <v>13200</v>
      </c>
      <c r="Y75" s="62">
        <f t="shared" si="121"/>
        <v>13800</v>
      </c>
      <c r="Z75" s="62">
        <f t="shared" si="121"/>
        <v>14400</v>
      </c>
      <c r="AA75" s="62">
        <f t="shared" si="121"/>
        <v>15000</v>
      </c>
      <c r="AB75" s="62">
        <f t="shared" si="121"/>
        <v>15600</v>
      </c>
      <c r="AC75" s="62">
        <f t="shared" si="121"/>
        <v>16200</v>
      </c>
      <c r="AD75" s="62">
        <f t="shared" si="121"/>
        <v>16800</v>
      </c>
      <c r="AE75" s="62">
        <f t="shared" si="121"/>
        <v>17400</v>
      </c>
      <c r="AF75" s="62">
        <f t="shared" si="121"/>
        <v>18000</v>
      </c>
      <c r="AG75" s="29"/>
    </row>
    <row r="76" spans="1:33" s="26" customFormat="1" x14ac:dyDescent="0.25">
      <c r="A76" s="29" t="s">
        <v>91</v>
      </c>
      <c r="B76" s="32">
        <f>SUM(B69+B71+B72+B74)</f>
        <v>1426</v>
      </c>
      <c r="C76" s="32">
        <f t="shared" ref="C76" si="122">SUM(C69+C71+C72+C74)</f>
        <v>25</v>
      </c>
      <c r="D76" s="32">
        <f t="shared" ref="D76" si="123">SUM(D69+D71+D72+D74)</f>
        <v>25</v>
      </c>
      <c r="E76" s="32">
        <f t="shared" ref="E76" si="124">SUM(E69+E71+E72+E74)</f>
        <v>1189</v>
      </c>
      <c r="F76" s="32">
        <f t="shared" ref="F76" si="125">SUM(F69+F71+F72+F74)</f>
        <v>25</v>
      </c>
      <c r="G76" s="32">
        <f t="shared" ref="G76" si="126">SUM(G69+G71+G72+G74)</f>
        <v>25</v>
      </c>
      <c r="H76" s="32">
        <f t="shared" ref="H76" si="127">SUM(H69+H71+H72+H74)</f>
        <v>1189</v>
      </c>
      <c r="I76" s="32">
        <f t="shared" ref="I76" si="128">SUM(I69+I71+I72+I74)</f>
        <v>25</v>
      </c>
      <c r="J76" s="32">
        <f t="shared" ref="J76" si="129">SUM(J69+J71+J72+J74)</f>
        <v>25</v>
      </c>
      <c r="K76" s="32">
        <f t="shared" ref="K76" si="130">SUM(K69+K71+K72+K74)</f>
        <v>1189</v>
      </c>
      <c r="L76" s="32">
        <f t="shared" ref="L76" si="131">SUM(L69+L71+L72+L74)</f>
        <v>25</v>
      </c>
      <c r="M76" s="32">
        <f t="shared" ref="M76" si="132">SUM(M69+M71+M72+M74)</f>
        <v>25</v>
      </c>
      <c r="N76" s="32">
        <f t="shared" ref="N76" si="133">SUM(N69+N71+N72+N74)</f>
        <v>1189</v>
      </c>
      <c r="O76" s="32">
        <f t="shared" ref="O76" si="134">SUM(O69+O71+O72+O74)</f>
        <v>25</v>
      </c>
      <c r="P76" s="32">
        <f t="shared" ref="P76" si="135">SUM(P69+P71+P72+P74)</f>
        <v>25</v>
      </c>
      <c r="Q76" s="32">
        <f t="shared" ref="Q76" si="136">SUM(Q69+Q71+Q72+Q74)</f>
        <v>1189</v>
      </c>
      <c r="R76" s="32">
        <f t="shared" ref="R76" si="137">SUM(R69+R71+R72+R74)</f>
        <v>25</v>
      </c>
      <c r="S76" s="32">
        <f t="shared" ref="S76" si="138">SUM(S69+S71+S72+S74)</f>
        <v>25</v>
      </c>
      <c r="T76" s="32">
        <f t="shared" ref="T76" si="139">SUM(T69+T71+T72+T74)</f>
        <v>1189</v>
      </c>
      <c r="U76" s="32">
        <f t="shared" ref="U76" si="140">SUM(U69+U71+U72+U74)</f>
        <v>25</v>
      </c>
      <c r="V76" s="32">
        <f t="shared" ref="V76" si="141">SUM(V69+V71+V72+V74)</f>
        <v>25</v>
      </c>
      <c r="W76" s="32">
        <f t="shared" ref="W76" si="142">SUM(W69+W71+W72+W74)</f>
        <v>1189</v>
      </c>
      <c r="X76" s="32">
        <f t="shared" ref="X76" si="143">SUM(X69+X71+X72+X74)</f>
        <v>25</v>
      </c>
      <c r="Y76" s="32">
        <f t="shared" ref="Y76" si="144">SUM(Y69+Y71+Y72+Y74)</f>
        <v>25</v>
      </c>
      <c r="Z76" s="32">
        <f t="shared" ref="Z76" si="145">SUM(Z69+Z71+Z72+Z74)</f>
        <v>1189</v>
      </c>
      <c r="AA76" s="32">
        <f t="shared" ref="AA76" si="146">SUM(AA69+AA71+AA72+AA74)</f>
        <v>25</v>
      </c>
      <c r="AB76" s="32">
        <f t="shared" ref="AB76" si="147">SUM(AB69+AB71+AB72+AB74)</f>
        <v>25</v>
      </c>
      <c r="AC76" s="32">
        <f t="shared" ref="AC76" si="148">SUM(AC69+AC71+AC72+AC74)</f>
        <v>1189</v>
      </c>
      <c r="AD76" s="32">
        <f t="shared" ref="AD76" si="149">SUM(AD69+AD71+AD72+AD74)</f>
        <v>25</v>
      </c>
      <c r="AE76" s="32">
        <f t="shared" ref="AE76" si="150">SUM(AE69+AE71+AE72+AE74)</f>
        <v>25</v>
      </c>
      <c r="AF76" s="32">
        <f t="shared" ref="AF76" si="151">SUM(AF69+AF71+AF72+AF74)</f>
        <v>1189</v>
      </c>
      <c r="AG76" s="29"/>
    </row>
    <row r="77" spans="1:33" x14ac:dyDescent="0.25">
      <c r="A77" s="29" t="s">
        <v>92</v>
      </c>
      <c r="B77" s="32">
        <f>B76</f>
        <v>1426</v>
      </c>
      <c r="C77" s="32">
        <f>B77+C76</f>
        <v>1451</v>
      </c>
      <c r="D77" s="32">
        <f t="shared" ref="D77:AF77" si="152">C77+D76</f>
        <v>1476</v>
      </c>
      <c r="E77" s="32">
        <f t="shared" si="152"/>
        <v>2665</v>
      </c>
      <c r="F77" s="32">
        <f t="shared" si="152"/>
        <v>2690</v>
      </c>
      <c r="G77" s="32">
        <f t="shared" si="152"/>
        <v>2715</v>
      </c>
      <c r="H77" s="32">
        <f t="shared" si="152"/>
        <v>3904</v>
      </c>
      <c r="I77" s="32">
        <f t="shared" si="152"/>
        <v>3929</v>
      </c>
      <c r="J77" s="32">
        <f t="shared" si="152"/>
        <v>3954</v>
      </c>
      <c r="K77" s="32">
        <f t="shared" si="152"/>
        <v>5143</v>
      </c>
      <c r="L77" s="32">
        <f t="shared" si="152"/>
        <v>5168</v>
      </c>
      <c r="M77" s="32">
        <f t="shared" si="152"/>
        <v>5193</v>
      </c>
      <c r="N77" s="32">
        <f t="shared" si="152"/>
        <v>6382</v>
      </c>
      <c r="O77" s="32">
        <f t="shared" si="152"/>
        <v>6407</v>
      </c>
      <c r="P77" s="32">
        <f t="shared" si="152"/>
        <v>6432</v>
      </c>
      <c r="Q77" s="32">
        <f t="shared" si="152"/>
        <v>7621</v>
      </c>
      <c r="R77" s="32">
        <f t="shared" si="152"/>
        <v>7646</v>
      </c>
      <c r="S77" s="32">
        <f t="shared" si="152"/>
        <v>7671</v>
      </c>
      <c r="T77" s="32">
        <f t="shared" si="152"/>
        <v>8860</v>
      </c>
      <c r="U77" s="32">
        <f t="shared" si="152"/>
        <v>8885</v>
      </c>
      <c r="V77" s="32">
        <f t="shared" si="152"/>
        <v>8910</v>
      </c>
      <c r="W77" s="32">
        <f t="shared" si="152"/>
        <v>10099</v>
      </c>
      <c r="X77" s="32">
        <f t="shared" si="152"/>
        <v>10124</v>
      </c>
      <c r="Y77" s="32">
        <f t="shared" si="152"/>
        <v>10149</v>
      </c>
      <c r="Z77" s="32">
        <f t="shared" si="152"/>
        <v>11338</v>
      </c>
      <c r="AA77" s="32">
        <f t="shared" si="152"/>
        <v>11363</v>
      </c>
      <c r="AB77" s="32">
        <f t="shared" si="152"/>
        <v>11388</v>
      </c>
      <c r="AC77" s="32">
        <f t="shared" si="152"/>
        <v>12577</v>
      </c>
      <c r="AD77" s="32">
        <f t="shared" si="152"/>
        <v>12602</v>
      </c>
      <c r="AE77" s="32">
        <f t="shared" si="152"/>
        <v>12627</v>
      </c>
      <c r="AF77" s="32">
        <f t="shared" si="152"/>
        <v>13816</v>
      </c>
      <c r="AG77" s="29"/>
    </row>
    <row r="78" spans="1:33" x14ac:dyDescent="0.25">
      <c r="A78" s="29" t="s">
        <v>93</v>
      </c>
      <c r="B78" s="32">
        <f>SUM(AG69:AG74)</f>
        <v>31648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>
        <f>SUM(AG69:AG74)</f>
        <v>31648</v>
      </c>
    </row>
    <row r="79" spans="1:33" x14ac:dyDescent="0.25">
      <c r="A79" s="29" t="s">
        <v>111</v>
      </c>
      <c r="B79" s="32">
        <f>B77</f>
        <v>1426</v>
      </c>
      <c r="C79" s="33">
        <f t="shared" ref="C79:AF79" si="153">SUM(C77/C2)</f>
        <v>1451</v>
      </c>
      <c r="D79" s="33">
        <f t="shared" si="153"/>
        <v>738</v>
      </c>
      <c r="E79" s="33">
        <f t="shared" si="153"/>
        <v>888.33333333333337</v>
      </c>
      <c r="F79" s="33">
        <f t="shared" si="153"/>
        <v>672.5</v>
      </c>
      <c r="G79" s="33">
        <f t="shared" si="153"/>
        <v>543</v>
      </c>
      <c r="H79" s="33">
        <f t="shared" si="153"/>
        <v>650.66666666666663</v>
      </c>
      <c r="I79" s="33">
        <f t="shared" si="153"/>
        <v>561.28571428571433</v>
      </c>
      <c r="J79" s="33">
        <f t="shared" si="153"/>
        <v>494.25</v>
      </c>
      <c r="K79" s="33">
        <f t="shared" si="153"/>
        <v>571.44444444444446</v>
      </c>
      <c r="L79" s="33">
        <f t="shared" si="153"/>
        <v>516.79999999999995</v>
      </c>
      <c r="M79" s="33">
        <f t="shared" si="153"/>
        <v>472.09090909090907</v>
      </c>
      <c r="N79" s="33">
        <f t="shared" si="153"/>
        <v>531.83333333333337</v>
      </c>
      <c r="O79" s="33">
        <f t="shared" si="153"/>
        <v>492.84615384615387</v>
      </c>
      <c r="P79" s="33">
        <f t="shared" si="153"/>
        <v>459.42857142857144</v>
      </c>
      <c r="Q79" s="33">
        <f t="shared" si="153"/>
        <v>508.06666666666666</v>
      </c>
      <c r="R79" s="33">
        <f t="shared" si="153"/>
        <v>477.875</v>
      </c>
      <c r="S79" s="33">
        <f t="shared" si="153"/>
        <v>451.23529411764707</v>
      </c>
      <c r="T79" s="33">
        <f t="shared" si="153"/>
        <v>492.22222222222223</v>
      </c>
      <c r="U79" s="33">
        <f t="shared" si="153"/>
        <v>467.63157894736844</v>
      </c>
      <c r="V79" s="33">
        <f t="shared" si="153"/>
        <v>445.5</v>
      </c>
      <c r="W79" s="33">
        <f t="shared" si="153"/>
        <v>480.90476190476193</v>
      </c>
      <c r="X79" s="33">
        <f t="shared" si="153"/>
        <v>460.18181818181819</v>
      </c>
      <c r="Y79" s="33">
        <f t="shared" si="153"/>
        <v>441.26086956521738</v>
      </c>
      <c r="Z79" s="33">
        <f t="shared" si="153"/>
        <v>472.41666666666669</v>
      </c>
      <c r="AA79" s="33">
        <f t="shared" si="153"/>
        <v>454.52</v>
      </c>
      <c r="AB79" s="33">
        <f t="shared" si="153"/>
        <v>438</v>
      </c>
      <c r="AC79" s="33">
        <f t="shared" si="153"/>
        <v>465.81481481481484</v>
      </c>
      <c r="AD79" s="33">
        <f t="shared" si="153"/>
        <v>450.07142857142856</v>
      </c>
      <c r="AE79" s="33">
        <f t="shared" si="153"/>
        <v>435.41379310344826</v>
      </c>
      <c r="AF79" s="33">
        <f t="shared" si="153"/>
        <v>460.53333333333336</v>
      </c>
      <c r="AG79" s="32"/>
    </row>
    <row r="80" spans="1:33" s="27" customFormat="1" x14ac:dyDescent="0.25">
      <c r="A80" s="33" t="s">
        <v>108</v>
      </c>
      <c r="B80" s="33">
        <f>(B77/B75)</f>
        <v>2.3766666666666665</v>
      </c>
      <c r="C80" s="33">
        <f t="shared" ref="C80:AF80" si="154">(C77/C75)</f>
        <v>2.4183333333333334</v>
      </c>
      <c r="D80" s="33">
        <f t="shared" si="154"/>
        <v>1.23</v>
      </c>
      <c r="E80" s="33">
        <f t="shared" si="154"/>
        <v>1.4805555555555556</v>
      </c>
      <c r="F80" s="33">
        <f t="shared" si="154"/>
        <v>1.1208333333333333</v>
      </c>
      <c r="G80" s="33">
        <f t="shared" si="154"/>
        <v>0.90500000000000003</v>
      </c>
      <c r="H80" s="33">
        <f t="shared" si="154"/>
        <v>1.0844444444444445</v>
      </c>
      <c r="I80" s="33">
        <f t="shared" si="154"/>
        <v>0.93547619047619046</v>
      </c>
      <c r="J80" s="33">
        <f t="shared" si="154"/>
        <v>0.82374999999999998</v>
      </c>
      <c r="K80" s="33">
        <f t="shared" si="154"/>
        <v>0.95240740740740737</v>
      </c>
      <c r="L80" s="33">
        <f t="shared" si="154"/>
        <v>0.86133333333333328</v>
      </c>
      <c r="M80" s="33">
        <f t="shared" si="154"/>
        <v>0.78681818181818186</v>
      </c>
      <c r="N80" s="33">
        <f t="shared" si="154"/>
        <v>0.88638888888888889</v>
      </c>
      <c r="O80" s="33">
        <f t="shared" si="154"/>
        <v>0.82141025641025645</v>
      </c>
      <c r="P80" s="33">
        <f t="shared" si="154"/>
        <v>0.76571428571428568</v>
      </c>
      <c r="Q80" s="33">
        <f t="shared" si="154"/>
        <v>0.84677777777777774</v>
      </c>
      <c r="R80" s="33">
        <f t="shared" si="154"/>
        <v>0.79645833333333338</v>
      </c>
      <c r="S80" s="33">
        <f t="shared" si="154"/>
        <v>0.75205882352941178</v>
      </c>
      <c r="T80" s="33">
        <f t="shared" si="154"/>
        <v>0.82037037037037042</v>
      </c>
      <c r="U80" s="33">
        <f t="shared" si="154"/>
        <v>0.77938596491228074</v>
      </c>
      <c r="V80" s="33">
        <f t="shared" si="154"/>
        <v>0.74250000000000005</v>
      </c>
      <c r="W80" s="33">
        <f t="shared" si="154"/>
        <v>0.8015079365079365</v>
      </c>
      <c r="X80" s="33">
        <f t="shared" si="154"/>
        <v>0.76696969696969697</v>
      </c>
      <c r="Y80" s="33">
        <f t="shared" si="154"/>
        <v>0.73543478260869566</v>
      </c>
      <c r="Z80" s="33">
        <f t="shared" si="154"/>
        <v>0.78736111111111107</v>
      </c>
      <c r="AA80" s="33">
        <f t="shared" si="154"/>
        <v>0.75753333333333328</v>
      </c>
      <c r="AB80" s="33">
        <f t="shared" si="154"/>
        <v>0.73</v>
      </c>
      <c r="AC80" s="33">
        <f t="shared" si="154"/>
        <v>0.77635802469135806</v>
      </c>
      <c r="AD80" s="33">
        <f t="shared" si="154"/>
        <v>0.75011904761904757</v>
      </c>
      <c r="AE80" s="33">
        <f t="shared" si="154"/>
        <v>0.72568965517241379</v>
      </c>
      <c r="AF80" s="33">
        <f t="shared" si="154"/>
        <v>0.76755555555555555</v>
      </c>
      <c r="AG80" s="33"/>
    </row>
    <row r="81" spans="1:33" x14ac:dyDescent="0.25">
      <c r="A81" s="29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2"/>
    </row>
    <row r="82" spans="1:33" x14ac:dyDescent="0.25">
      <c r="A82" s="28" t="s">
        <v>65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29"/>
    </row>
    <row r="83" spans="1:33" x14ac:dyDescent="0.25">
      <c r="A83" s="29" t="s">
        <v>143</v>
      </c>
      <c r="B83" s="33">
        <f>(B78/B68)</f>
        <v>52.74666666666667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0"/>
      <c r="AA83" s="29"/>
      <c r="AB83" s="29"/>
      <c r="AC83" s="29"/>
      <c r="AD83" s="29"/>
      <c r="AE83" s="29"/>
      <c r="AF83" s="29"/>
      <c r="AG83" s="32"/>
    </row>
    <row r="84" spans="1:33" x14ac:dyDescent="0.25">
      <c r="B84" s="5"/>
      <c r="AG84" s="3"/>
    </row>
    <row r="85" spans="1:33" x14ac:dyDescent="0.25">
      <c r="A85" s="35" t="s">
        <v>64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7"/>
      <c r="AA85" s="36"/>
      <c r="AB85" s="36"/>
      <c r="AC85" s="36"/>
      <c r="AD85" s="36"/>
      <c r="AE85" s="36"/>
      <c r="AF85" s="36"/>
      <c r="AG85" s="36"/>
    </row>
    <row r="86" spans="1:33" x14ac:dyDescent="0.25">
      <c r="A86" s="36" t="s">
        <v>25</v>
      </c>
      <c r="B86" s="36">
        <v>5</v>
      </c>
      <c r="C86" s="36">
        <f>(B86)</f>
        <v>5</v>
      </c>
      <c r="D86" s="36">
        <f t="shared" ref="D86:AF86" si="155">(C86)</f>
        <v>5</v>
      </c>
      <c r="E86" s="36">
        <f t="shared" si="155"/>
        <v>5</v>
      </c>
      <c r="F86" s="36">
        <f t="shared" si="155"/>
        <v>5</v>
      </c>
      <c r="G86" s="36">
        <f t="shared" si="155"/>
        <v>5</v>
      </c>
      <c r="H86" s="36">
        <f t="shared" si="155"/>
        <v>5</v>
      </c>
      <c r="I86" s="36">
        <f t="shared" si="155"/>
        <v>5</v>
      </c>
      <c r="J86" s="36">
        <f t="shared" si="155"/>
        <v>5</v>
      </c>
      <c r="K86" s="36">
        <f t="shared" si="155"/>
        <v>5</v>
      </c>
      <c r="L86" s="36">
        <f t="shared" si="155"/>
        <v>5</v>
      </c>
      <c r="M86" s="36">
        <f t="shared" si="155"/>
        <v>5</v>
      </c>
      <c r="N86" s="36">
        <f t="shared" si="155"/>
        <v>5</v>
      </c>
      <c r="O86" s="36">
        <f t="shared" si="155"/>
        <v>5</v>
      </c>
      <c r="P86" s="36">
        <f t="shared" si="155"/>
        <v>5</v>
      </c>
      <c r="Q86" s="36">
        <f t="shared" si="155"/>
        <v>5</v>
      </c>
      <c r="R86" s="36">
        <f t="shared" si="155"/>
        <v>5</v>
      </c>
      <c r="S86" s="36">
        <f t="shared" si="155"/>
        <v>5</v>
      </c>
      <c r="T86" s="36">
        <f t="shared" si="155"/>
        <v>5</v>
      </c>
      <c r="U86" s="36">
        <f t="shared" si="155"/>
        <v>5</v>
      </c>
      <c r="V86" s="36">
        <f t="shared" si="155"/>
        <v>5</v>
      </c>
      <c r="W86" s="36">
        <f t="shared" si="155"/>
        <v>5</v>
      </c>
      <c r="X86" s="36">
        <f t="shared" si="155"/>
        <v>5</v>
      </c>
      <c r="Y86" s="36">
        <f t="shared" si="155"/>
        <v>5</v>
      </c>
      <c r="Z86" s="36">
        <f t="shared" si="155"/>
        <v>5</v>
      </c>
      <c r="AA86" s="36">
        <f t="shared" si="155"/>
        <v>5</v>
      </c>
      <c r="AB86" s="36">
        <f t="shared" si="155"/>
        <v>5</v>
      </c>
      <c r="AC86" s="36">
        <f t="shared" si="155"/>
        <v>5</v>
      </c>
      <c r="AD86" s="36">
        <f t="shared" si="155"/>
        <v>5</v>
      </c>
      <c r="AE86" s="36">
        <f t="shared" si="155"/>
        <v>5</v>
      </c>
      <c r="AF86" s="36">
        <f t="shared" si="155"/>
        <v>5</v>
      </c>
      <c r="AG86" s="36"/>
    </row>
    <row r="87" spans="1:33" x14ac:dyDescent="0.25">
      <c r="A87" s="36" t="s">
        <v>8</v>
      </c>
      <c r="B87" s="36">
        <f t="shared" ref="B87:AF87" si="156">((B4*2)*B86)</f>
        <v>2000</v>
      </c>
      <c r="C87" s="36">
        <f t="shared" si="156"/>
        <v>2000</v>
      </c>
      <c r="D87" s="36">
        <f t="shared" si="156"/>
        <v>2000</v>
      </c>
      <c r="E87" s="36">
        <f t="shared" si="156"/>
        <v>2000</v>
      </c>
      <c r="F87" s="36">
        <f t="shared" si="156"/>
        <v>2000</v>
      </c>
      <c r="G87" s="36">
        <f t="shared" si="156"/>
        <v>2000</v>
      </c>
      <c r="H87" s="36">
        <f t="shared" si="156"/>
        <v>2000</v>
      </c>
      <c r="I87" s="36">
        <f t="shared" si="156"/>
        <v>2000</v>
      </c>
      <c r="J87" s="36">
        <f t="shared" si="156"/>
        <v>2000</v>
      </c>
      <c r="K87" s="36">
        <f t="shared" si="156"/>
        <v>2000</v>
      </c>
      <c r="L87" s="36">
        <f t="shared" si="156"/>
        <v>2000</v>
      </c>
      <c r="M87" s="36">
        <f t="shared" si="156"/>
        <v>2000</v>
      </c>
      <c r="N87" s="36">
        <f t="shared" si="156"/>
        <v>2000</v>
      </c>
      <c r="O87" s="36">
        <f t="shared" si="156"/>
        <v>2000</v>
      </c>
      <c r="P87" s="36">
        <f t="shared" si="156"/>
        <v>2000</v>
      </c>
      <c r="Q87" s="36">
        <f t="shared" si="156"/>
        <v>2000</v>
      </c>
      <c r="R87" s="36">
        <f t="shared" si="156"/>
        <v>2000</v>
      </c>
      <c r="S87" s="36">
        <f t="shared" si="156"/>
        <v>2000</v>
      </c>
      <c r="T87" s="36">
        <f t="shared" si="156"/>
        <v>2000</v>
      </c>
      <c r="U87" s="36">
        <f t="shared" si="156"/>
        <v>2000</v>
      </c>
      <c r="V87" s="36">
        <f t="shared" si="156"/>
        <v>2000</v>
      </c>
      <c r="W87" s="36">
        <f t="shared" si="156"/>
        <v>2000</v>
      </c>
      <c r="X87" s="36">
        <f t="shared" si="156"/>
        <v>2000</v>
      </c>
      <c r="Y87" s="36">
        <f t="shared" si="156"/>
        <v>2000</v>
      </c>
      <c r="Z87" s="36">
        <f t="shared" si="156"/>
        <v>2000</v>
      </c>
      <c r="AA87" s="36">
        <f t="shared" si="156"/>
        <v>2000</v>
      </c>
      <c r="AB87" s="36">
        <f t="shared" si="156"/>
        <v>2000</v>
      </c>
      <c r="AC87" s="36">
        <f t="shared" si="156"/>
        <v>2000</v>
      </c>
      <c r="AD87" s="36">
        <f t="shared" si="156"/>
        <v>2000</v>
      </c>
      <c r="AE87" s="36">
        <f t="shared" si="156"/>
        <v>2000</v>
      </c>
      <c r="AF87" s="36">
        <f t="shared" si="156"/>
        <v>2000</v>
      </c>
      <c r="AG87" s="36"/>
    </row>
    <row r="88" spans="1:33" x14ac:dyDescent="0.25">
      <c r="A88" s="36" t="s">
        <v>9</v>
      </c>
      <c r="B88" s="36">
        <f>ROUNDUP(((B87/215)*2),0)</f>
        <v>19</v>
      </c>
      <c r="C88" s="36">
        <v>0</v>
      </c>
      <c r="D88" s="36">
        <v>0</v>
      </c>
      <c r="E88" s="36">
        <f>ROUNDUP(((E87/215)*2),0)</f>
        <v>19</v>
      </c>
      <c r="F88" s="36">
        <v>0</v>
      </c>
      <c r="G88" s="36">
        <v>0</v>
      </c>
      <c r="H88" s="36">
        <f>ROUNDUP(((H87/215)*2),0)</f>
        <v>19</v>
      </c>
      <c r="I88" s="36">
        <v>0</v>
      </c>
      <c r="J88" s="36">
        <v>0</v>
      </c>
      <c r="K88" s="36">
        <f>ROUNDUP(((K87/215)*2),0)</f>
        <v>19</v>
      </c>
      <c r="L88" s="36">
        <v>0</v>
      </c>
      <c r="M88" s="36">
        <v>0</v>
      </c>
      <c r="N88" s="36">
        <f>ROUNDUP(((N87/215)*2),0)</f>
        <v>19</v>
      </c>
      <c r="O88" s="36">
        <v>0</v>
      </c>
      <c r="P88" s="36">
        <v>0</v>
      </c>
      <c r="Q88" s="36">
        <f>ROUNDUP(((Q87/215)*2),0)</f>
        <v>19</v>
      </c>
      <c r="R88" s="36">
        <v>0</v>
      </c>
      <c r="S88" s="36">
        <v>0</v>
      </c>
      <c r="T88" s="36">
        <f>ROUNDUP(((T87/215)*2),0)</f>
        <v>19</v>
      </c>
      <c r="U88" s="36">
        <v>0</v>
      </c>
      <c r="V88" s="36">
        <v>0</v>
      </c>
      <c r="W88" s="36">
        <f>ROUNDUP(((W87/215)*2),0)</f>
        <v>19</v>
      </c>
      <c r="X88" s="36">
        <v>0</v>
      </c>
      <c r="Y88" s="36">
        <v>0</v>
      </c>
      <c r="Z88" s="36">
        <f>ROUNDUP(((Z87/215)*2),0)</f>
        <v>19</v>
      </c>
      <c r="AA88" s="36">
        <v>0</v>
      </c>
      <c r="AB88" s="36">
        <v>0</v>
      </c>
      <c r="AC88" s="36">
        <f>ROUNDUP(((AC87/215)*2),0)</f>
        <v>19</v>
      </c>
      <c r="AD88" s="36">
        <v>0</v>
      </c>
      <c r="AE88" s="36">
        <v>0</v>
      </c>
      <c r="AF88" s="36">
        <f>ROUNDUP(((AF87/215)*2),0)</f>
        <v>19</v>
      </c>
      <c r="AG88" s="38">
        <f>SUM(B88:AF88)</f>
        <v>209</v>
      </c>
    </row>
    <row r="89" spans="1:33" x14ac:dyDescent="0.25">
      <c r="A89" s="36" t="s">
        <v>56</v>
      </c>
      <c r="B89" s="36">
        <f>(B87/2)</f>
        <v>1000</v>
      </c>
      <c r="C89" s="36">
        <f t="shared" ref="C89:AF89" si="157">(C87/2)</f>
        <v>1000</v>
      </c>
      <c r="D89" s="36">
        <f t="shared" si="157"/>
        <v>1000</v>
      </c>
      <c r="E89" s="36">
        <f t="shared" si="157"/>
        <v>1000</v>
      </c>
      <c r="F89" s="36">
        <f t="shared" si="157"/>
        <v>1000</v>
      </c>
      <c r="G89" s="36">
        <f t="shared" si="157"/>
        <v>1000</v>
      </c>
      <c r="H89" s="36">
        <f t="shared" si="157"/>
        <v>1000</v>
      </c>
      <c r="I89" s="36">
        <f t="shared" si="157"/>
        <v>1000</v>
      </c>
      <c r="J89" s="36">
        <f t="shared" si="157"/>
        <v>1000</v>
      </c>
      <c r="K89" s="36">
        <f t="shared" si="157"/>
        <v>1000</v>
      </c>
      <c r="L89" s="36">
        <f t="shared" si="157"/>
        <v>1000</v>
      </c>
      <c r="M89" s="36">
        <f t="shared" si="157"/>
        <v>1000</v>
      </c>
      <c r="N89" s="36">
        <f t="shared" si="157"/>
        <v>1000</v>
      </c>
      <c r="O89" s="36">
        <f t="shared" si="157"/>
        <v>1000</v>
      </c>
      <c r="P89" s="36">
        <f t="shared" si="157"/>
        <v>1000</v>
      </c>
      <c r="Q89" s="36">
        <f t="shared" si="157"/>
        <v>1000</v>
      </c>
      <c r="R89" s="36">
        <f t="shared" si="157"/>
        <v>1000</v>
      </c>
      <c r="S89" s="36">
        <f t="shared" si="157"/>
        <v>1000</v>
      </c>
      <c r="T89" s="36">
        <f t="shared" si="157"/>
        <v>1000</v>
      </c>
      <c r="U89" s="36">
        <f t="shared" si="157"/>
        <v>1000</v>
      </c>
      <c r="V89" s="36">
        <f t="shared" si="157"/>
        <v>1000</v>
      </c>
      <c r="W89" s="36">
        <f t="shared" si="157"/>
        <v>1000</v>
      </c>
      <c r="X89" s="36">
        <f t="shared" si="157"/>
        <v>1000</v>
      </c>
      <c r="Y89" s="36">
        <f t="shared" si="157"/>
        <v>1000</v>
      </c>
      <c r="Z89" s="36">
        <f t="shared" si="157"/>
        <v>1000</v>
      </c>
      <c r="AA89" s="36">
        <f t="shared" si="157"/>
        <v>1000</v>
      </c>
      <c r="AB89" s="36">
        <f t="shared" si="157"/>
        <v>1000</v>
      </c>
      <c r="AC89" s="36">
        <f t="shared" si="157"/>
        <v>1000</v>
      </c>
      <c r="AD89" s="36">
        <f t="shared" si="157"/>
        <v>1000</v>
      </c>
      <c r="AE89" s="36">
        <f t="shared" si="157"/>
        <v>1000</v>
      </c>
      <c r="AF89" s="36">
        <f t="shared" si="157"/>
        <v>1000</v>
      </c>
      <c r="AG89" s="38"/>
    </row>
    <row r="90" spans="1:33" x14ac:dyDescent="0.25">
      <c r="A90" s="36" t="s">
        <v>7</v>
      </c>
      <c r="B90" s="39">
        <f>(B88*97)</f>
        <v>1843</v>
      </c>
      <c r="C90" s="36">
        <f t="shared" ref="C90:AF90" si="158">(C88*97)</f>
        <v>0</v>
      </c>
      <c r="D90" s="36">
        <f t="shared" si="158"/>
        <v>0</v>
      </c>
      <c r="E90" s="39">
        <f t="shared" si="158"/>
        <v>1843</v>
      </c>
      <c r="F90" s="36">
        <f t="shared" si="158"/>
        <v>0</v>
      </c>
      <c r="G90" s="36">
        <f t="shared" si="158"/>
        <v>0</v>
      </c>
      <c r="H90" s="39">
        <f t="shared" si="158"/>
        <v>1843</v>
      </c>
      <c r="I90" s="36">
        <f t="shared" si="158"/>
        <v>0</v>
      </c>
      <c r="J90" s="36">
        <f t="shared" si="158"/>
        <v>0</v>
      </c>
      <c r="K90" s="39">
        <f t="shared" si="158"/>
        <v>1843</v>
      </c>
      <c r="L90" s="36">
        <f t="shared" si="158"/>
        <v>0</v>
      </c>
      <c r="M90" s="36">
        <f t="shared" si="158"/>
        <v>0</v>
      </c>
      <c r="N90" s="39">
        <f t="shared" si="158"/>
        <v>1843</v>
      </c>
      <c r="O90" s="36">
        <f t="shared" si="158"/>
        <v>0</v>
      </c>
      <c r="P90" s="36">
        <f t="shared" si="158"/>
        <v>0</v>
      </c>
      <c r="Q90" s="39">
        <f t="shared" si="158"/>
        <v>1843</v>
      </c>
      <c r="R90" s="36">
        <f t="shared" si="158"/>
        <v>0</v>
      </c>
      <c r="S90" s="36">
        <f t="shared" si="158"/>
        <v>0</v>
      </c>
      <c r="T90" s="39">
        <f t="shared" si="158"/>
        <v>1843</v>
      </c>
      <c r="U90" s="36">
        <f t="shared" si="158"/>
        <v>0</v>
      </c>
      <c r="V90" s="36">
        <f t="shared" si="158"/>
        <v>0</v>
      </c>
      <c r="W90" s="39">
        <f t="shared" si="158"/>
        <v>1843</v>
      </c>
      <c r="X90" s="36">
        <f t="shared" si="158"/>
        <v>0</v>
      </c>
      <c r="Y90" s="36">
        <f t="shared" si="158"/>
        <v>0</v>
      </c>
      <c r="Z90" s="39">
        <f t="shared" si="158"/>
        <v>1843</v>
      </c>
      <c r="AA90" s="36">
        <f t="shared" si="158"/>
        <v>0</v>
      </c>
      <c r="AB90" s="38">
        <f t="shared" si="158"/>
        <v>0</v>
      </c>
      <c r="AC90" s="39">
        <f t="shared" si="158"/>
        <v>1843</v>
      </c>
      <c r="AD90" s="36">
        <f t="shared" si="158"/>
        <v>0</v>
      </c>
      <c r="AE90" s="38">
        <f t="shared" si="158"/>
        <v>0</v>
      </c>
      <c r="AF90" s="36">
        <f t="shared" si="158"/>
        <v>1843</v>
      </c>
      <c r="AG90" s="39">
        <f>SUM(B90:AF90)</f>
        <v>20273</v>
      </c>
    </row>
    <row r="91" spans="1:33" x14ac:dyDescent="0.25">
      <c r="A91" s="36" t="s">
        <v>14</v>
      </c>
      <c r="B91" s="36">
        <f>B88*5</f>
        <v>95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/>
    </row>
    <row r="92" spans="1:33" x14ac:dyDescent="0.25">
      <c r="A92" s="36" t="s">
        <v>6</v>
      </c>
      <c r="B92" s="39">
        <f>B91*2.75</f>
        <v>261.25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9">
        <f>SUM(B92:AF92)</f>
        <v>261.25</v>
      </c>
    </row>
    <row r="93" spans="1:33" s="34" customFormat="1" x14ac:dyDescent="0.25">
      <c r="A93" s="36" t="s">
        <v>133</v>
      </c>
      <c r="B93" s="39">
        <f>(8*12)</f>
        <v>96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39">
        <v>0</v>
      </c>
      <c r="Z93" s="39">
        <v>0</v>
      </c>
      <c r="AA93" s="39">
        <v>0</v>
      </c>
      <c r="AB93" s="39">
        <v>0</v>
      </c>
      <c r="AC93" s="39">
        <v>0</v>
      </c>
      <c r="AD93" s="39">
        <v>0</v>
      </c>
      <c r="AE93" s="39">
        <v>0</v>
      </c>
      <c r="AF93" s="39">
        <v>0</v>
      </c>
      <c r="AG93" s="39">
        <v>48</v>
      </c>
    </row>
    <row r="94" spans="1:33" s="34" customFormat="1" x14ac:dyDescent="0.25">
      <c r="A94" s="36" t="s">
        <v>10</v>
      </c>
      <c r="B94" s="39">
        <f>(6*12*12)</f>
        <v>864</v>
      </c>
      <c r="C94" s="39">
        <f>(B94)</f>
        <v>864</v>
      </c>
      <c r="D94" s="39">
        <f t="shared" ref="D94" si="159">(C94)</f>
        <v>864</v>
      </c>
      <c r="E94" s="39">
        <f t="shared" ref="E94" si="160">(D94)</f>
        <v>864</v>
      </c>
      <c r="F94" s="39">
        <f t="shared" ref="F94" si="161">(E94)</f>
        <v>864</v>
      </c>
      <c r="G94" s="39">
        <f t="shared" ref="G94" si="162">(F94)</f>
        <v>864</v>
      </c>
      <c r="H94" s="39">
        <f t="shared" ref="H94" si="163">(G94)</f>
        <v>864</v>
      </c>
      <c r="I94" s="39">
        <f t="shared" ref="I94" si="164">(H94)</f>
        <v>864</v>
      </c>
      <c r="J94" s="39">
        <f t="shared" ref="J94" si="165">(I94)</f>
        <v>864</v>
      </c>
      <c r="K94" s="39">
        <f t="shared" ref="K94" si="166">(J94)</f>
        <v>864</v>
      </c>
      <c r="L94" s="39">
        <f t="shared" ref="L94" si="167">(K94)</f>
        <v>864</v>
      </c>
      <c r="M94" s="39">
        <f t="shared" ref="M94" si="168">(L94)</f>
        <v>864</v>
      </c>
      <c r="N94" s="39">
        <f t="shared" ref="N94" si="169">(M94)</f>
        <v>864</v>
      </c>
      <c r="O94" s="39">
        <f t="shared" ref="O94" si="170">(N94)</f>
        <v>864</v>
      </c>
      <c r="P94" s="39">
        <f t="shared" ref="P94" si="171">(O94)</f>
        <v>864</v>
      </c>
      <c r="Q94" s="39">
        <f t="shared" ref="Q94" si="172">(P94)</f>
        <v>864</v>
      </c>
      <c r="R94" s="39">
        <f t="shared" ref="R94" si="173">(Q94)</f>
        <v>864</v>
      </c>
      <c r="S94" s="39">
        <f t="shared" ref="S94" si="174">(R94)</f>
        <v>864</v>
      </c>
      <c r="T94" s="39">
        <f t="shared" ref="T94" si="175">(S94)</f>
        <v>864</v>
      </c>
      <c r="U94" s="39">
        <f t="shared" ref="U94" si="176">(T94)</f>
        <v>864</v>
      </c>
      <c r="V94" s="39">
        <f t="shared" ref="V94" si="177">(U94)</f>
        <v>864</v>
      </c>
      <c r="W94" s="39">
        <f t="shared" ref="W94" si="178">(V94)</f>
        <v>864</v>
      </c>
      <c r="X94" s="39">
        <f t="shared" ref="X94" si="179">(W94)</f>
        <v>864</v>
      </c>
      <c r="Y94" s="39">
        <f t="shared" ref="Y94" si="180">(X94)</f>
        <v>864</v>
      </c>
      <c r="Z94" s="39">
        <f t="shared" ref="Z94" si="181">(Y94)</f>
        <v>864</v>
      </c>
      <c r="AA94" s="39">
        <f t="shared" ref="AA94" si="182">(Z94)</f>
        <v>864</v>
      </c>
      <c r="AB94" s="39">
        <f t="shared" ref="AB94" si="183">(AA94)</f>
        <v>864</v>
      </c>
      <c r="AC94" s="39">
        <f t="shared" ref="AC94" si="184">(AB94)</f>
        <v>864</v>
      </c>
      <c r="AD94" s="39">
        <f t="shared" ref="AD94" si="185">(AC94)</f>
        <v>864</v>
      </c>
      <c r="AE94" s="39">
        <f t="shared" ref="AE94" si="186">(AD94)</f>
        <v>864</v>
      </c>
      <c r="AF94" s="39">
        <f t="shared" ref="AF94" si="187">(AE94)</f>
        <v>864</v>
      </c>
      <c r="AG94" s="39">
        <f>SUM(B94:AF94)</f>
        <v>26784</v>
      </c>
    </row>
    <row r="95" spans="1:33" x14ac:dyDescent="0.25">
      <c r="A95" s="36" t="s">
        <v>11</v>
      </c>
      <c r="B95" s="39">
        <v>25</v>
      </c>
      <c r="C95" s="39">
        <f>(B95)</f>
        <v>25</v>
      </c>
      <c r="D95" s="39">
        <f t="shared" ref="D95:AF95" si="188">(C95)</f>
        <v>25</v>
      </c>
      <c r="E95" s="39">
        <f t="shared" si="188"/>
        <v>25</v>
      </c>
      <c r="F95" s="39">
        <f t="shared" si="188"/>
        <v>25</v>
      </c>
      <c r="G95" s="39">
        <f t="shared" si="188"/>
        <v>25</v>
      </c>
      <c r="H95" s="39">
        <f t="shared" si="188"/>
        <v>25</v>
      </c>
      <c r="I95" s="39">
        <f t="shared" si="188"/>
        <v>25</v>
      </c>
      <c r="J95" s="39">
        <f t="shared" si="188"/>
        <v>25</v>
      </c>
      <c r="K95" s="39">
        <f t="shared" si="188"/>
        <v>25</v>
      </c>
      <c r="L95" s="39">
        <f t="shared" si="188"/>
        <v>25</v>
      </c>
      <c r="M95" s="39">
        <f t="shared" si="188"/>
        <v>25</v>
      </c>
      <c r="N95" s="39">
        <f t="shared" si="188"/>
        <v>25</v>
      </c>
      <c r="O95" s="39">
        <f t="shared" si="188"/>
        <v>25</v>
      </c>
      <c r="P95" s="39">
        <f t="shared" si="188"/>
        <v>25</v>
      </c>
      <c r="Q95" s="39">
        <f t="shared" si="188"/>
        <v>25</v>
      </c>
      <c r="R95" s="39">
        <f t="shared" si="188"/>
        <v>25</v>
      </c>
      <c r="S95" s="39">
        <f t="shared" si="188"/>
        <v>25</v>
      </c>
      <c r="T95" s="39">
        <f t="shared" si="188"/>
        <v>25</v>
      </c>
      <c r="U95" s="39">
        <f t="shared" si="188"/>
        <v>25</v>
      </c>
      <c r="V95" s="39">
        <f t="shared" si="188"/>
        <v>25</v>
      </c>
      <c r="W95" s="39">
        <f t="shared" si="188"/>
        <v>25</v>
      </c>
      <c r="X95" s="39">
        <f t="shared" si="188"/>
        <v>25</v>
      </c>
      <c r="Y95" s="39">
        <f t="shared" si="188"/>
        <v>25</v>
      </c>
      <c r="Z95" s="39">
        <f t="shared" si="188"/>
        <v>25</v>
      </c>
      <c r="AA95" s="39">
        <f t="shared" si="188"/>
        <v>25</v>
      </c>
      <c r="AB95" s="39">
        <f t="shared" si="188"/>
        <v>25</v>
      </c>
      <c r="AC95" s="39">
        <f t="shared" si="188"/>
        <v>25</v>
      </c>
      <c r="AD95" s="39">
        <f t="shared" si="188"/>
        <v>25</v>
      </c>
      <c r="AE95" s="39">
        <f t="shared" si="188"/>
        <v>25</v>
      </c>
      <c r="AF95" s="39">
        <f t="shared" si="188"/>
        <v>25</v>
      </c>
      <c r="AG95" s="39">
        <f>SUM(B95:AF95)</f>
        <v>775</v>
      </c>
    </row>
    <row r="96" spans="1:33" s="34" customFormat="1" x14ac:dyDescent="0.25">
      <c r="A96" s="36" t="s">
        <v>105</v>
      </c>
      <c r="B96" s="65">
        <f>(B87/2)</f>
        <v>1000</v>
      </c>
      <c r="C96" s="65">
        <f t="shared" ref="C96:AF96" si="189">($B$96*C2)</f>
        <v>1000</v>
      </c>
      <c r="D96" s="65">
        <f t="shared" si="189"/>
        <v>2000</v>
      </c>
      <c r="E96" s="65">
        <f t="shared" si="189"/>
        <v>3000</v>
      </c>
      <c r="F96" s="65">
        <f t="shared" si="189"/>
        <v>4000</v>
      </c>
      <c r="G96" s="65">
        <f t="shared" si="189"/>
        <v>5000</v>
      </c>
      <c r="H96" s="65">
        <f t="shared" si="189"/>
        <v>6000</v>
      </c>
      <c r="I96" s="65">
        <f t="shared" si="189"/>
        <v>7000</v>
      </c>
      <c r="J96" s="65">
        <f t="shared" si="189"/>
        <v>8000</v>
      </c>
      <c r="K96" s="65">
        <f t="shared" si="189"/>
        <v>9000</v>
      </c>
      <c r="L96" s="65">
        <f t="shared" si="189"/>
        <v>10000</v>
      </c>
      <c r="M96" s="65">
        <f t="shared" si="189"/>
        <v>11000</v>
      </c>
      <c r="N96" s="65">
        <f t="shared" si="189"/>
        <v>12000</v>
      </c>
      <c r="O96" s="65">
        <f t="shared" si="189"/>
        <v>13000</v>
      </c>
      <c r="P96" s="65">
        <f t="shared" si="189"/>
        <v>14000</v>
      </c>
      <c r="Q96" s="65">
        <f t="shared" si="189"/>
        <v>15000</v>
      </c>
      <c r="R96" s="65">
        <f t="shared" si="189"/>
        <v>16000</v>
      </c>
      <c r="S96" s="65">
        <f t="shared" si="189"/>
        <v>17000</v>
      </c>
      <c r="T96" s="65">
        <f t="shared" si="189"/>
        <v>18000</v>
      </c>
      <c r="U96" s="65">
        <f t="shared" si="189"/>
        <v>19000</v>
      </c>
      <c r="V96" s="65">
        <f t="shared" si="189"/>
        <v>20000</v>
      </c>
      <c r="W96" s="65">
        <f t="shared" si="189"/>
        <v>21000</v>
      </c>
      <c r="X96" s="65">
        <f t="shared" si="189"/>
        <v>22000</v>
      </c>
      <c r="Y96" s="65">
        <f t="shared" si="189"/>
        <v>23000</v>
      </c>
      <c r="Z96" s="65">
        <f t="shared" si="189"/>
        <v>24000</v>
      </c>
      <c r="AA96" s="65">
        <f t="shared" si="189"/>
        <v>25000</v>
      </c>
      <c r="AB96" s="65">
        <f t="shared" si="189"/>
        <v>26000</v>
      </c>
      <c r="AC96" s="65">
        <f t="shared" si="189"/>
        <v>27000</v>
      </c>
      <c r="AD96" s="65">
        <f t="shared" si="189"/>
        <v>28000</v>
      </c>
      <c r="AE96" s="65">
        <f t="shared" si="189"/>
        <v>29000</v>
      </c>
      <c r="AF96" s="65">
        <f t="shared" si="189"/>
        <v>30000</v>
      </c>
      <c r="AG96" s="36"/>
    </row>
    <row r="97" spans="1:33" x14ac:dyDescent="0.25">
      <c r="A97" s="36" t="s">
        <v>91</v>
      </c>
      <c r="B97" s="39">
        <f>SUM(B90+B92+B93+B95)</f>
        <v>2225.25</v>
      </c>
      <c r="C97" s="39">
        <f t="shared" ref="C97" si="190">SUM(C90+C92+C93+C95)</f>
        <v>25</v>
      </c>
      <c r="D97" s="39">
        <f t="shared" ref="D97" si="191">SUM(D90+D92+D93+D95)</f>
        <v>25</v>
      </c>
      <c r="E97" s="39">
        <f t="shared" ref="E97" si="192">SUM(E90+E92+E93+E95)</f>
        <v>1868</v>
      </c>
      <c r="F97" s="39">
        <f t="shared" ref="F97" si="193">SUM(F90+F92+F93+F95)</f>
        <v>25</v>
      </c>
      <c r="G97" s="39">
        <f t="shared" ref="G97" si="194">SUM(G90+G92+G93+G95)</f>
        <v>25</v>
      </c>
      <c r="H97" s="39">
        <f t="shared" ref="H97" si="195">SUM(H90+H92+H93+H95)</f>
        <v>1868</v>
      </c>
      <c r="I97" s="39">
        <f t="shared" ref="I97" si="196">SUM(I90+I92+I93+I95)</f>
        <v>25</v>
      </c>
      <c r="J97" s="39">
        <f t="shared" ref="J97" si="197">SUM(J90+J92+J93+J95)</f>
        <v>25</v>
      </c>
      <c r="K97" s="39">
        <f t="shared" ref="K97" si="198">SUM(K90+K92+K93+K95)</f>
        <v>1868</v>
      </c>
      <c r="L97" s="39">
        <f t="shared" ref="L97" si="199">SUM(L90+L92+L93+L95)</f>
        <v>25</v>
      </c>
      <c r="M97" s="39">
        <f t="shared" ref="M97" si="200">SUM(M90+M92+M93+M95)</f>
        <v>25</v>
      </c>
      <c r="N97" s="39">
        <f t="shared" ref="N97" si="201">SUM(N90+N92+N93+N95)</f>
        <v>1868</v>
      </c>
      <c r="O97" s="39">
        <f t="shared" ref="O97" si="202">SUM(O90+O92+O93+O95)</f>
        <v>25</v>
      </c>
      <c r="P97" s="39">
        <f t="shared" ref="P97" si="203">SUM(P90+P92+P93+P95)</f>
        <v>25</v>
      </c>
      <c r="Q97" s="39">
        <f t="shared" ref="Q97" si="204">SUM(Q90+Q92+Q93+Q95)</f>
        <v>1868</v>
      </c>
      <c r="R97" s="39">
        <f t="shared" ref="R97" si="205">SUM(R90+R92+R93+R95)</f>
        <v>25</v>
      </c>
      <c r="S97" s="39">
        <f t="shared" ref="S97" si="206">SUM(S90+S92+S93+S95)</f>
        <v>25</v>
      </c>
      <c r="T97" s="39">
        <f t="shared" ref="T97" si="207">SUM(T90+T92+T93+T95)</f>
        <v>1868</v>
      </c>
      <c r="U97" s="39">
        <f t="shared" ref="U97" si="208">SUM(U90+U92+U93+U95)</f>
        <v>25</v>
      </c>
      <c r="V97" s="39">
        <f t="shared" ref="V97" si="209">SUM(V90+V92+V93+V95)</f>
        <v>25</v>
      </c>
      <c r="W97" s="39">
        <f t="shared" ref="W97" si="210">SUM(W90+W92+W93+W95)</f>
        <v>1868</v>
      </c>
      <c r="X97" s="39">
        <f t="shared" ref="X97" si="211">SUM(X90+X92+X93+X95)</f>
        <v>25</v>
      </c>
      <c r="Y97" s="39">
        <f t="shared" ref="Y97" si="212">SUM(Y90+Y92+Y93+Y95)</f>
        <v>25</v>
      </c>
      <c r="Z97" s="39">
        <f t="shared" ref="Z97" si="213">SUM(Z90+Z92+Z93+Z95)</f>
        <v>1868</v>
      </c>
      <c r="AA97" s="39">
        <f t="shared" ref="AA97" si="214">SUM(AA90+AA92+AA93+AA95)</f>
        <v>25</v>
      </c>
      <c r="AB97" s="39">
        <f t="shared" ref="AB97" si="215">SUM(AB90+AB92+AB93+AB95)</f>
        <v>25</v>
      </c>
      <c r="AC97" s="39">
        <f t="shared" ref="AC97" si="216">SUM(AC90+AC92+AC93+AC95)</f>
        <v>1868</v>
      </c>
      <c r="AD97" s="39">
        <f t="shared" ref="AD97" si="217">SUM(AD90+AD92+AD93+AD95)</f>
        <v>25</v>
      </c>
      <c r="AE97" s="39">
        <f t="shared" ref="AE97" si="218">SUM(AE90+AE92+AE93+AE95)</f>
        <v>25</v>
      </c>
      <c r="AF97" s="39">
        <f t="shared" ref="AF97" si="219">SUM(AF90+AF92+AF93+AF95)</f>
        <v>1868</v>
      </c>
      <c r="AG97" s="36"/>
    </row>
    <row r="98" spans="1:33" x14ac:dyDescent="0.25">
      <c r="A98" s="36" t="s">
        <v>92</v>
      </c>
      <c r="B98" s="39">
        <f>B97</f>
        <v>2225.25</v>
      </c>
      <c r="C98" s="39">
        <f>B98+C97</f>
        <v>2250.25</v>
      </c>
      <c r="D98" s="39">
        <f t="shared" ref="D98" si="220">C98+D97</f>
        <v>2275.25</v>
      </c>
      <c r="E98" s="39">
        <f t="shared" ref="E98" si="221">D98+E97</f>
        <v>4143.25</v>
      </c>
      <c r="F98" s="39">
        <f t="shared" ref="F98" si="222">E98+F97</f>
        <v>4168.25</v>
      </c>
      <c r="G98" s="39">
        <f t="shared" ref="G98" si="223">F98+G97</f>
        <v>4193.25</v>
      </c>
      <c r="H98" s="39">
        <f t="shared" ref="H98" si="224">G98+H97</f>
        <v>6061.25</v>
      </c>
      <c r="I98" s="39">
        <f t="shared" ref="I98" si="225">H98+I97</f>
        <v>6086.25</v>
      </c>
      <c r="J98" s="39">
        <f t="shared" ref="J98" si="226">I98+J97</f>
        <v>6111.25</v>
      </c>
      <c r="K98" s="39">
        <f t="shared" ref="K98" si="227">J98+K97</f>
        <v>7979.25</v>
      </c>
      <c r="L98" s="39">
        <f t="shared" ref="L98" si="228">K98+L97</f>
        <v>8004.25</v>
      </c>
      <c r="M98" s="39">
        <f t="shared" ref="M98" si="229">L98+M97</f>
        <v>8029.25</v>
      </c>
      <c r="N98" s="39">
        <f t="shared" ref="N98" si="230">M98+N97</f>
        <v>9897.25</v>
      </c>
      <c r="O98" s="39">
        <f t="shared" ref="O98" si="231">N98+O97</f>
        <v>9922.25</v>
      </c>
      <c r="P98" s="39">
        <f t="shared" ref="P98" si="232">O98+P97</f>
        <v>9947.25</v>
      </c>
      <c r="Q98" s="39">
        <f t="shared" ref="Q98" si="233">P98+Q97</f>
        <v>11815.25</v>
      </c>
      <c r="R98" s="39">
        <f t="shared" ref="R98" si="234">Q98+R97</f>
        <v>11840.25</v>
      </c>
      <c r="S98" s="39">
        <f t="shared" ref="S98" si="235">R98+S97</f>
        <v>11865.25</v>
      </c>
      <c r="T98" s="39">
        <f t="shared" ref="T98" si="236">S98+T97</f>
        <v>13733.25</v>
      </c>
      <c r="U98" s="39">
        <f t="shared" ref="U98" si="237">T98+U97</f>
        <v>13758.25</v>
      </c>
      <c r="V98" s="39">
        <f t="shared" ref="V98" si="238">U98+V97</f>
        <v>13783.25</v>
      </c>
      <c r="W98" s="39">
        <f t="shared" ref="W98" si="239">V98+W97</f>
        <v>15651.25</v>
      </c>
      <c r="X98" s="39">
        <f t="shared" ref="X98" si="240">W98+X97</f>
        <v>15676.25</v>
      </c>
      <c r="Y98" s="39">
        <f t="shared" ref="Y98" si="241">X98+Y97</f>
        <v>15701.25</v>
      </c>
      <c r="Z98" s="39">
        <f t="shared" ref="Z98" si="242">Y98+Z97</f>
        <v>17569.25</v>
      </c>
      <c r="AA98" s="39">
        <f t="shared" ref="AA98" si="243">Z98+AA97</f>
        <v>17594.25</v>
      </c>
      <c r="AB98" s="39">
        <f t="shared" ref="AB98" si="244">AA98+AB97</f>
        <v>17619.25</v>
      </c>
      <c r="AC98" s="39">
        <f t="shared" ref="AC98" si="245">AB98+AC97</f>
        <v>19487.25</v>
      </c>
      <c r="AD98" s="39">
        <f t="shared" ref="AD98" si="246">AC98+AD97</f>
        <v>19512.25</v>
      </c>
      <c r="AE98" s="39">
        <f t="shared" ref="AE98" si="247">AD98+AE97</f>
        <v>19537.25</v>
      </c>
      <c r="AF98" s="39">
        <f t="shared" ref="AF98" si="248">AE98+AF97</f>
        <v>21405.25</v>
      </c>
      <c r="AG98" s="36"/>
    </row>
    <row r="99" spans="1:33" x14ac:dyDescent="0.25">
      <c r="A99" s="36" t="s">
        <v>93</v>
      </c>
      <c r="B99" s="39">
        <f>SUM(AG90:AG95)</f>
        <v>48141.25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>
        <f>SUM(AG90:AG95)</f>
        <v>48141.25</v>
      </c>
    </row>
    <row r="100" spans="1:33" x14ac:dyDescent="0.25">
      <c r="A100" s="36" t="s">
        <v>112</v>
      </c>
      <c r="B100" s="39">
        <f>B98</f>
        <v>2225.25</v>
      </c>
      <c r="C100" s="40">
        <f t="shared" ref="C100:AF100" si="249">SUM(C98/C2)</f>
        <v>2250.25</v>
      </c>
      <c r="D100" s="40">
        <f t="shared" si="249"/>
        <v>1137.625</v>
      </c>
      <c r="E100" s="40">
        <f t="shared" si="249"/>
        <v>1381.0833333333333</v>
      </c>
      <c r="F100" s="40">
        <f t="shared" si="249"/>
        <v>1042.0625</v>
      </c>
      <c r="G100" s="40">
        <f t="shared" si="249"/>
        <v>838.65</v>
      </c>
      <c r="H100" s="40">
        <f t="shared" si="249"/>
        <v>1010.2083333333334</v>
      </c>
      <c r="I100" s="40">
        <f t="shared" si="249"/>
        <v>869.46428571428567</v>
      </c>
      <c r="J100" s="40">
        <f t="shared" si="249"/>
        <v>763.90625</v>
      </c>
      <c r="K100" s="40">
        <f t="shared" si="249"/>
        <v>886.58333333333337</v>
      </c>
      <c r="L100" s="40">
        <f t="shared" si="249"/>
        <v>800.42499999999995</v>
      </c>
      <c r="M100" s="40">
        <f t="shared" si="249"/>
        <v>729.93181818181813</v>
      </c>
      <c r="N100" s="40">
        <f t="shared" si="249"/>
        <v>824.77083333333337</v>
      </c>
      <c r="O100" s="40">
        <f t="shared" si="249"/>
        <v>763.25</v>
      </c>
      <c r="P100" s="40">
        <f t="shared" si="249"/>
        <v>710.51785714285711</v>
      </c>
      <c r="Q100" s="40">
        <f t="shared" si="249"/>
        <v>787.68333333333328</v>
      </c>
      <c r="R100" s="40">
        <f t="shared" si="249"/>
        <v>740.015625</v>
      </c>
      <c r="S100" s="40">
        <f t="shared" si="249"/>
        <v>697.95588235294122</v>
      </c>
      <c r="T100" s="40">
        <f t="shared" si="249"/>
        <v>762.95833333333337</v>
      </c>
      <c r="U100" s="40">
        <f t="shared" si="249"/>
        <v>724.11842105263156</v>
      </c>
      <c r="V100" s="40">
        <f t="shared" si="249"/>
        <v>689.16250000000002</v>
      </c>
      <c r="W100" s="40">
        <f t="shared" si="249"/>
        <v>745.29761904761904</v>
      </c>
      <c r="X100" s="40">
        <f t="shared" si="249"/>
        <v>712.55681818181813</v>
      </c>
      <c r="Y100" s="40">
        <f t="shared" si="249"/>
        <v>682.66304347826087</v>
      </c>
      <c r="Z100" s="40">
        <f t="shared" si="249"/>
        <v>732.05208333333337</v>
      </c>
      <c r="AA100" s="40">
        <f t="shared" si="249"/>
        <v>703.77</v>
      </c>
      <c r="AB100" s="40">
        <f t="shared" si="249"/>
        <v>677.66346153846155</v>
      </c>
      <c r="AC100" s="40">
        <f t="shared" si="249"/>
        <v>721.75</v>
      </c>
      <c r="AD100" s="40">
        <f t="shared" si="249"/>
        <v>696.86607142857144</v>
      </c>
      <c r="AE100" s="40">
        <f t="shared" si="249"/>
        <v>673.69827586206895</v>
      </c>
      <c r="AF100" s="40">
        <f t="shared" si="249"/>
        <v>713.50833333333333</v>
      </c>
      <c r="AG100" s="39"/>
    </row>
    <row r="101" spans="1:33" x14ac:dyDescent="0.25">
      <c r="A101" s="40" t="s">
        <v>108</v>
      </c>
      <c r="B101" s="40">
        <f>(B98/B96)</f>
        <v>2.22525</v>
      </c>
      <c r="C101" s="40">
        <f t="shared" ref="C101:AF101" si="250">(C98/C96)</f>
        <v>2.2502499999999999</v>
      </c>
      <c r="D101" s="40">
        <f t="shared" si="250"/>
        <v>1.1376250000000001</v>
      </c>
      <c r="E101" s="40">
        <f t="shared" si="250"/>
        <v>1.3810833333333334</v>
      </c>
      <c r="F101" s="40">
        <f t="shared" si="250"/>
        <v>1.0420624999999999</v>
      </c>
      <c r="G101" s="40">
        <f t="shared" si="250"/>
        <v>0.83865000000000001</v>
      </c>
      <c r="H101" s="40">
        <f t="shared" si="250"/>
        <v>1.0102083333333334</v>
      </c>
      <c r="I101" s="40">
        <f t="shared" si="250"/>
        <v>0.86946428571428569</v>
      </c>
      <c r="J101" s="40">
        <f t="shared" si="250"/>
        <v>0.76390625000000001</v>
      </c>
      <c r="K101" s="40">
        <f t="shared" si="250"/>
        <v>0.88658333333333328</v>
      </c>
      <c r="L101" s="40">
        <f t="shared" si="250"/>
        <v>0.80042500000000005</v>
      </c>
      <c r="M101" s="40">
        <f t="shared" si="250"/>
        <v>0.72993181818181818</v>
      </c>
      <c r="N101" s="40">
        <f t="shared" si="250"/>
        <v>0.82477083333333334</v>
      </c>
      <c r="O101" s="40">
        <f t="shared" si="250"/>
        <v>0.76324999999999998</v>
      </c>
      <c r="P101" s="40">
        <f t="shared" si="250"/>
        <v>0.71051785714285709</v>
      </c>
      <c r="Q101" s="40">
        <f t="shared" si="250"/>
        <v>0.78768333333333329</v>
      </c>
      <c r="R101" s="40">
        <f t="shared" si="250"/>
        <v>0.74001562499999995</v>
      </c>
      <c r="S101" s="40">
        <f t="shared" si="250"/>
        <v>0.69795588235294115</v>
      </c>
      <c r="T101" s="40">
        <f t="shared" si="250"/>
        <v>0.76295833333333329</v>
      </c>
      <c r="U101" s="40">
        <f t="shared" si="250"/>
        <v>0.72411842105263158</v>
      </c>
      <c r="V101" s="40">
        <f t="shared" si="250"/>
        <v>0.68916250000000001</v>
      </c>
      <c r="W101" s="40">
        <f t="shared" si="250"/>
        <v>0.74529761904761904</v>
      </c>
      <c r="X101" s="40">
        <f t="shared" si="250"/>
        <v>0.71255681818181815</v>
      </c>
      <c r="Y101" s="40">
        <f t="shared" si="250"/>
        <v>0.6826630434782609</v>
      </c>
      <c r="Z101" s="40">
        <f t="shared" si="250"/>
        <v>0.73205208333333338</v>
      </c>
      <c r="AA101" s="40">
        <f t="shared" si="250"/>
        <v>0.70377000000000001</v>
      </c>
      <c r="AB101" s="40">
        <f t="shared" si="250"/>
        <v>0.67766346153846158</v>
      </c>
      <c r="AC101" s="40">
        <f t="shared" si="250"/>
        <v>0.72175</v>
      </c>
      <c r="AD101" s="40">
        <f t="shared" si="250"/>
        <v>0.69686607142857138</v>
      </c>
      <c r="AE101" s="40">
        <f t="shared" si="250"/>
        <v>0.67369827586206898</v>
      </c>
      <c r="AF101" s="40">
        <f t="shared" si="250"/>
        <v>0.7135083333333333</v>
      </c>
      <c r="AG101" s="40"/>
    </row>
    <row r="102" spans="1:33" x14ac:dyDescent="0.25">
      <c r="A102" s="36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39"/>
    </row>
    <row r="103" spans="1:33" x14ac:dyDescent="0.25">
      <c r="A103" s="35" t="s">
        <v>66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6"/>
    </row>
    <row r="104" spans="1:33" x14ac:dyDescent="0.25">
      <c r="A104" s="36" t="s">
        <v>143</v>
      </c>
      <c r="B104" s="40">
        <f>(B99/B89)</f>
        <v>48.141249999999999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7"/>
      <c r="AA104" s="36"/>
      <c r="AB104" s="36"/>
      <c r="AC104" s="36"/>
      <c r="AD104" s="36"/>
      <c r="AE104" s="36"/>
      <c r="AF104" s="36"/>
      <c r="AG104" s="36"/>
    </row>
    <row r="107" spans="1:33" x14ac:dyDescent="0.25">
      <c r="B107" s="5"/>
      <c r="O107" s="6"/>
      <c r="Z107"/>
    </row>
    <row r="108" spans="1:33" x14ac:dyDescent="0.25">
      <c r="O108" s="6"/>
      <c r="Z108"/>
    </row>
    <row r="109" spans="1:33" x14ac:dyDescent="0.25">
      <c r="O109" s="6"/>
      <c r="Z109"/>
    </row>
    <row r="110" spans="1:33" x14ac:dyDescent="0.25">
      <c r="O110" s="6"/>
      <c r="Z110"/>
    </row>
    <row r="111" spans="1:33" x14ac:dyDescent="0.25">
      <c r="O111" s="6"/>
      <c r="Z111"/>
    </row>
    <row r="112" spans="1:33" x14ac:dyDescent="0.25">
      <c r="O112" s="6"/>
      <c r="Z112"/>
    </row>
    <row r="113" spans="2:26" x14ac:dyDescent="0.25">
      <c r="O113" s="6"/>
      <c r="Z113"/>
    </row>
    <row r="114" spans="2:26" x14ac:dyDescent="0.25">
      <c r="O114" s="6"/>
      <c r="Z114"/>
    </row>
    <row r="115" spans="2:26" x14ac:dyDescent="0.25">
      <c r="O115" s="6"/>
      <c r="Z115"/>
    </row>
    <row r="116" spans="2:26" x14ac:dyDescent="0.25">
      <c r="B116" s="5"/>
      <c r="O116" s="6"/>
      <c r="Z116"/>
    </row>
    <row r="117" spans="2:26" x14ac:dyDescent="0.25">
      <c r="O117" s="6"/>
      <c r="Z117"/>
    </row>
    <row r="118" spans="2:26" x14ac:dyDescent="0.25">
      <c r="O118" s="6"/>
      <c r="Z118"/>
    </row>
    <row r="119" spans="2:26" x14ac:dyDescent="0.25">
      <c r="O119" s="6"/>
      <c r="Z119"/>
    </row>
    <row r="120" spans="2:26" x14ac:dyDescent="0.25">
      <c r="O120" s="6"/>
      <c r="Z120"/>
    </row>
    <row r="121" spans="2:26" x14ac:dyDescent="0.25">
      <c r="O121" s="6"/>
      <c r="Z121"/>
    </row>
    <row r="122" spans="2:26" x14ac:dyDescent="0.25">
      <c r="O122" s="6"/>
      <c r="Z122"/>
    </row>
    <row r="123" spans="2:26" x14ac:dyDescent="0.25">
      <c r="O123" s="6"/>
      <c r="Z123"/>
    </row>
  </sheetData>
  <pageMargins left="0.7" right="0.7" top="0.75" bottom="0.75" header="0.3" footer="0.3"/>
  <pageSetup scale="29" orientation="landscape" horizontalDpi="0" verticalDpi="0" r:id="rId1"/>
  <ignoredErrors>
    <ignoredError sqref="C50 E46 H46 K46 N46 Q46 T46 W46 Z46 AC46 B7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E3067-1883-4C62-8EBF-1E12B6AD3062}">
  <dimension ref="A1:AG108"/>
  <sheetViews>
    <sheetView showGridLines="0" topLeftCell="A31" workbookViewId="0">
      <selection activeCell="B57" sqref="B57"/>
    </sheetView>
  </sheetViews>
  <sheetFormatPr defaultRowHeight="15" x14ac:dyDescent="0.25"/>
  <cols>
    <col min="1" max="1" width="69.5703125" customWidth="1"/>
    <col min="2" max="2" width="9.42578125" customWidth="1"/>
    <col min="26" max="26" width="9.140625" style="6"/>
    <col min="34" max="34" width="37.5703125" customWidth="1"/>
  </cols>
  <sheetData>
    <row r="1" spans="1:33" ht="17.25" x14ac:dyDescent="0.3">
      <c r="A1" s="1"/>
      <c r="B1" s="1">
        <v>2018</v>
      </c>
      <c r="C1" s="1">
        <v>2019</v>
      </c>
      <c r="D1" s="1">
        <v>2020</v>
      </c>
      <c r="E1" s="1">
        <v>2021</v>
      </c>
      <c r="F1" s="1">
        <v>2022</v>
      </c>
      <c r="G1" s="1">
        <v>2023</v>
      </c>
      <c r="H1" s="1">
        <v>2024</v>
      </c>
      <c r="I1" s="1">
        <v>2025</v>
      </c>
      <c r="J1" s="1">
        <v>2026</v>
      </c>
      <c r="K1" s="1">
        <v>2027</v>
      </c>
      <c r="L1" s="1">
        <v>2028</v>
      </c>
      <c r="M1" s="1">
        <v>2029</v>
      </c>
      <c r="N1" s="1">
        <v>2030</v>
      </c>
      <c r="O1" s="1">
        <v>2031</v>
      </c>
      <c r="P1" s="1">
        <v>2032</v>
      </c>
      <c r="Q1" s="1">
        <v>2033</v>
      </c>
      <c r="R1" s="1">
        <v>2034</v>
      </c>
      <c r="S1" s="1">
        <v>2035</v>
      </c>
      <c r="T1" s="1">
        <v>2036</v>
      </c>
      <c r="U1" s="1">
        <v>2037</v>
      </c>
      <c r="V1" s="1">
        <v>2038</v>
      </c>
      <c r="W1" s="1">
        <v>2039</v>
      </c>
      <c r="X1" s="1">
        <v>2040</v>
      </c>
      <c r="Y1" s="1">
        <v>2041</v>
      </c>
      <c r="Z1" s="7">
        <v>2042</v>
      </c>
      <c r="AA1" s="1">
        <v>2043</v>
      </c>
      <c r="AB1" s="1">
        <v>2044</v>
      </c>
      <c r="AC1" s="1">
        <v>2045</v>
      </c>
      <c r="AD1" s="1">
        <v>2046</v>
      </c>
      <c r="AE1" s="1">
        <v>2047</v>
      </c>
      <c r="AF1" s="1">
        <v>2049</v>
      </c>
      <c r="AG1" s="1" t="s">
        <v>0</v>
      </c>
    </row>
    <row r="2" spans="1:33" ht="17.25" x14ac:dyDescent="0.3">
      <c r="A2" s="2" t="s">
        <v>1</v>
      </c>
      <c r="B2" s="1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7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/>
    </row>
    <row r="3" spans="1:33" x14ac:dyDescent="0.25">
      <c r="A3" s="8" t="s">
        <v>78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9"/>
      <c r="AB3" s="9"/>
      <c r="AC3" s="9"/>
      <c r="AD3" s="9"/>
      <c r="AE3" s="9"/>
      <c r="AF3" s="9"/>
      <c r="AG3" s="9"/>
    </row>
    <row r="4" spans="1:33" x14ac:dyDescent="0.25">
      <c r="A4" s="9" t="s">
        <v>16</v>
      </c>
      <c r="B4" s="9">
        <v>200</v>
      </c>
      <c r="C4" s="9">
        <f>(B4)</f>
        <v>200</v>
      </c>
      <c r="D4" s="9">
        <f t="shared" ref="D4:S5" si="0">(C4)</f>
        <v>200</v>
      </c>
      <c r="E4" s="9">
        <f t="shared" si="0"/>
        <v>200</v>
      </c>
      <c r="F4" s="9">
        <f t="shared" si="0"/>
        <v>200</v>
      </c>
      <c r="G4" s="9">
        <f t="shared" si="0"/>
        <v>200</v>
      </c>
      <c r="H4" s="9">
        <f t="shared" si="0"/>
        <v>200</v>
      </c>
      <c r="I4" s="9">
        <f t="shared" si="0"/>
        <v>200</v>
      </c>
      <c r="J4" s="9">
        <f t="shared" si="0"/>
        <v>200</v>
      </c>
      <c r="K4" s="9">
        <f t="shared" si="0"/>
        <v>200</v>
      </c>
      <c r="L4" s="9">
        <f t="shared" si="0"/>
        <v>200</v>
      </c>
      <c r="M4" s="9">
        <f t="shared" si="0"/>
        <v>200</v>
      </c>
      <c r="N4" s="9">
        <f t="shared" si="0"/>
        <v>200</v>
      </c>
      <c r="O4" s="9">
        <f t="shared" si="0"/>
        <v>200</v>
      </c>
      <c r="P4" s="9">
        <f t="shared" si="0"/>
        <v>200</v>
      </c>
      <c r="Q4" s="9">
        <f t="shared" si="0"/>
        <v>200</v>
      </c>
      <c r="R4" s="9">
        <f t="shared" si="0"/>
        <v>200</v>
      </c>
      <c r="S4" s="9">
        <f t="shared" si="0"/>
        <v>200</v>
      </c>
      <c r="T4" s="9">
        <f t="shared" ref="T4:AF5" si="1">(S4)</f>
        <v>200</v>
      </c>
      <c r="U4" s="9">
        <f t="shared" si="1"/>
        <v>200</v>
      </c>
      <c r="V4" s="9">
        <f t="shared" si="1"/>
        <v>200</v>
      </c>
      <c r="W4" s="9">
        <f t="shared" si="1"/>
        <v>200</v>
      </c>
      <c r="X4" s="9">
        <f t="shared" si="1"/>
        <v>200</v>
      </c>
      <c r="Y4" s="9">
        <f t="shared" si="1"/>
        <v>200</v>
      </c>
      <c r="Z4" s="9">
        <f t="shared" si="1"/>
        <v>200</v>
      </c>
      <c r="AA4" s="9">
        <f t="shared" si="1"/>
        <v>200</v>
      </c>
      <c r="AB4" s="9">
        <f t="shared" si="1"/>
        <v>200</v>
      </c>
      <c r="AC4" s="9">
        <f t="shared" si="1"/>
        <v>200</v>
      </c>
      <c r="AD4" s="9">
        <f t="shared" si="1"/>
        <v>200</v>
      </c>
      <c r="AE4" s="9">
        <f t="shared" si="1"/>
        <v>200</v>
      </c>
      <c r="AF4" s="9">
        <f t="shared" si="1"/>
        <v>200</v>
      </c>
      <c r="AG4" s="9"/>
    </row>
    <row r="5" spans="1:33" x14ac:dyDescent="0.25">
      <c r="A5" s="9" t="s">
        <v>47</v>
      </c>
      <c r="B5" s="9">
        <v>5</v>
      </c>
      <c r="C5" s="9">
        <f>(B5)</f>
        <v>5</v>
      </c>
      <c r="D5" s="9">
        <f t="shared" si="0"/>
        <v>5</v>
      </c>
      <c r="E5" s="9">
        <f t="shared" si="0"/>
        <v>5</v>
      </c>
      <c r="F5" s="9">
        <f t="shared" si="0"/>
        <v>5</v>
      </c>
      <c r="G5" s="9">
        <f t="shared" si="0"/>
        <v>5</v>
      </c>
      <c r="H5" s="9">
        <f t="shared" si="0"/>
        <v>5</v>
      </c>
      <c r="I5" s="9">
        <f t="shared" si="0"/>
        <v>5</v>
      </c>
      <c r="J5" s="9">
        <f t="shared" si="0"/>
        <v>5</v>
      </c>
      <c r="K5" s="9">
        <f t="shared" si="0"/>
        <v>5</v>
      </c>
      <c r="L5" s="9">
        <f t="shared" si="0"/>
        <v>5</v>
      </c>
      <c r="M5" s="9">
        <f t="shared" si="0"/>
        <v>5</v>
      </c>
      <c r="N5" s="9">
        <f t="shared" si="0"/>
        <v>5</v>
      </c>
      <c r="O5" s="9">
        <f t="shared" si="0"/>
        <v>5</v>
      </c>
      <c r="P5" s="9">
        <f t="shared" si="0"/>
        <v>5</v>
      </c>
      <c r="Q5" s="9">
        <f t="shared" si="0"/>
        <v>5</v>
      </c>
      <c r="R5" s="9">
        <f t="shared" si="0"/>
        <v>5</v>
      </c>
      <c r="S5" s="9">
        <f t="shared" si="0"/>
        <v>5</v>
      </c>
      <c r="T5" s="9">
        <f t="shared" si="1"/>
        <v>5</v>
      </c>
      <c r="U5" s="9">
        <f t="shared" si="1"/>
        <v>5</v>
      </c>
      <c r="V5" s="9">
        <f t="shared" si="1"/>
        <v>5</v>
      </c>
      <c r="W5" s="9">
        <f t="shared" si="1"/>
        <v>5</v>
      </c>
      <c r="X5" s="9">
        <f t="shared" si="1"/>
        <v>5</v>
      </c>
      <c r="Y5" s="9">
        <f t="shared" si="1"/>
        <v>5</v>
      </c>
      <c r="Z5" s="9">
        <f t="shared" si="1"/>
        <v>5</v>
      </c>
      <c r="AA5" s="9">
        <f t="shared" si="1"/>
        <v>5</v>
      </c>
      <c r="AB5" s="9">
        <f t="shared" si="1"/>
        <v>5</v>
      </c>
      <c r="AC5" s="9">
        <f t="shared" si="1"/>
        <v>5</v>
      </c>
      <c r="AD5" s="9">
        <f t="shared" si="1"/>
        <v>5</v>
      </c>
      <c r="AE5" s="9">
        <f t="shared" si="1"/>
        <v>5</v>
      </c>
      <c r="AF5" s="9">
        <f t="shared" si="1"/>
        <v>5</v>
      </c>
      <c r="AG5" s="9"/>
    </row>
    <row r="6" spans="1:33" x14ac:dyDescent="0.25">
      <c r="A6" s="9" t="s">
        <v>46</v>
      </c>
      <c r="B6" s="9">
        <v>6</v>
      </c>
      <c r="C6" s="9">
        <v>6</v>
      </c>
      <c r="D6" s="9">
        <v>6</v>
      </c>
      <c r="E6" s="9">
        <v>6</v>
      </c>
      <c r="F6" s="9">
        <v>6</v>
      </c>
      <c r="G6" s="9">
        <v>6</v>
      </c>
      <c r="H6" s="9">
        <v>6</v>
      </c>
      <c r="I6" s="9">
        <v>6</v>
      </c>
      <c r="J6" s="9">
        <v>6</v>
      </c>
      <c r="K6" s="9">
        <v>6</v>
      </c>
      <c r="L6" s="9">
        <v>6</v>
      </c>
      <c r="M6" s="9">
        <v>6</v>
      </c>
      <c r="N6" s="9">
        <v>6</v>
      </c>
      <c r="O6" s="9">
        <v>6</v>
      </c>
      <c r="P6" s="9">
        <v>6</v>
      </c>
      <c r="Q6" s="9">
        <v>6</v>
      </c>
      <c r="R6" s="9">
        <v>6</v>
      </c>
      <c r="S6" s="9">
        <v>6</v>
      </c>
      <c r="T6" s="9">
        <v>6</v>
      </c>
      <c r="U6" s="9">
        <v>6</v>
      </c>
      <c r="V6" s="9">
        <v>6</v>
      </c>
      <c r="W6" s="9">
        <v>6</v>
      </c>
      <c r="X6" s="9">
        <v>6</v>
      </c>
      <c r="Y6" s="9">
        <v>6</v>
      </c>
      <c r="Z6" s="9">
        <v>6</v>
      </c>
      <c r="AA6" s="9">
        <v>6</v>
      </c>
      <c r="AB6" s="9">
        <v>6</v>
      </c>
      <c r="AC6" s="9">
        <v>6</v>
      </c>
      <c r="AD6" s="9">
        <v>6</v>
      </c>
      <c r="AE6" s="9">
        <v>6</v>
      </c>
      <c r="AF6" s="9">
        <v>6</v>
      </c>
      <c r="AG6" s="9"/>
    </row>
    <row r="7" spans="1:33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x14ac:dyDescent="0.25">
      <c r="A8" s="8" t="s">
        <v>59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  <c r="AA8" s="9"/>
      <c r="AB8" s="9"/>
      <c r="AC8" s="9"/>
      <c r="AD8" s="9"/>
      <c r="AE8" s="9"/>
      <c r="AF8" s="9"/>
      <c r="AG8" s="9"/>
    </row>
    <row r="9" spans="1:33" x14ac:dyDescent="0.25">
      <c r="A9" s="9" t="s">
        <v>17</v>
      </c>
      <c r="B9" s="11">
        <f>ROUNDUP(SUM(B4/(6*B5)),0)</f>
        <v>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/>
    </row>
    <row r="10" spans="1:33" x14ac:dyDescent="0.25">
      <c r="A10" s="9" t="s">
        <v>15</v>
      </c>
      <c r="B10" s="12">
        <v>110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12"/>
    </row>
    <row r="11" spans="1:33" x14ac:dyDescent="0.25">
      <c r="A11" s="9" t="s">
        <v>18</v>
      </c>
      <c r="B11" s="12">
        <f>SUM(B9*B10)</f>
        <v>770</v>
      </c>
      <c r="C11" s="13">
        <f t="shared" ref="C11:AF11" si="2">SUM(C9*C10)</f>
        <v>0</v>
      </c>
      <c r="D11" s="13">
        <f t="shared" si="2"/>
        <v>0</v>
      </c>
      <c r="E11" s="13">
        <f t="shared" si="2"/>
        <v>0</v>
      </c>
      <c r="F11" s="13">
        <f t="shared" si="2"/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13">
        <f t="shared" si="2"/>
        <v>0</v>
      </c>
      <c r="S11" s="13">
        <f t="shared" si="2"/>
        <v>0</v>
      </c>
      <c r="T11" s="13">
        <f t="shared" si="2"/>
        <v>0</v>
      </c>
      <c r="U11" s="13">
        <f t="shared" si="2"/>
        <v>0</v>
      </c>
      <c r="V11" s="13">
        <f t="shared" si="2"/>
        <v>0</v>
      </c>
      <c r="W11" s="13">
        <f t="shared" si="2"/>
        <v>0</v>
      </c>
      <c r="X11" s="13">
        <f t="shared" si="2"/>
        <v>0</v>
      </c>
      <c r="Y11" s="13">
        <f t="shared" si="2"/>
        <v>0</v>
      </c>
      <c r="Z11" s="13">
        <f t="shared" si="2"/>
        <v>0</v>
      </c>
      <c r="AA11" s="13">
        <f t="shared" si="2"/>
        <v>0</v>
      </c>
      <c r="AB11" s="13">
        <f t="shared" si="2"/>
        <v>0</v>
      </c>
      <c r="AC11" s="13">
        <f t="shared" si="2"/>
        <v>0</v>
      </c>
      <c r="AD11" s="13">
        <f t="shared" si="2"/>
        <v>0</v>
      </c>
      <c r="AE11" s="13">
        <f t="shared" si="2"/>
        <v>0</v>
      </c>
      <c r="AF11" s="13">
        <f t="shared" si="2"/>
        <v>0</v>
      </c>
      <c r="AG11" s="12">
        <f t="shared" ref="AG11:AG12" si="3">SUM(B11:AF11)</f>
        <v>770</v>
      </c>
    </row>
    <row r="12" spans="1:33" x14ac:dyDescent="0.25">
      <c r="A12" s="9" t="s">
        <v>76</v>
      </c>
      <c r="B12" s="12">
        <v>135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2">
        <f t="shared" si="3"/>
        <v>135</v>
      </c>
    </row>
    <row r="13" spans="1:33" x14ac:dyDescent="0.25">
      <c r="A13" s="9" t="s">
        <v>19</v>
      </c>
      <c r="B13" s="9">
        <f>B9*6</f>
        <v>42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/>
    </row>
    <row r="14" spans="1:33" x14ac:dyDescent="0.25">
      <c r="A14" s="9" t="s">
        <v>20</v>
      </c>
      <c r="B14" s="12">
        <f>B13*0.3</f>
        <v>12.6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12">
        <f>SUM(B14:AF14)</f>
        <v>12.6</v>
      </c>
    </row>
    <row r="15" spans="1:33" x14ac:dyDescent="0.25">
      <c r="A15" s="9" t="s">
        <v>131</v>
      </c>
      <c r="B15" s="12">
        <f>SUM(6*12)</f>
        <v>72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12">
        <f>SUM(B15:AF15)</f>
        <v>72</v>
      </c>
    </row>
    <row r="16" spans="1:33" x14ac:dyDescent="0.25">
      <c r="A16" s="9" t="s">
        <v>21</v>
      </c>
      <c r="B16" s="12">
        <f>(0.15*12*12)</f>
        <v>21.599999999999998</v>
      </c>
      <c r="C16" s="12">
        <f>(B16)</f>
        <v>21.599999999999998</v>
      </c>
      <c r="D16" s="12">
        <f t="shared" ref="D16:S18" si="4">(C16)</f>
        <v>21.599999999999998</v>
      </c>
      <c r="E16" s="12">
        <f t="shared" si="4"/>
        <v>21.599999999999998</v>
      </c>
      <c r="F16" s="12">
        <f t="shared" si="4"/>
        <v>21.599999999999998</v>
      </c>
      <c r="G16" s="12">
        <f t="shared" si="4"/>
        <v>21.599999999999998</v>
      </c>
      <c r="H16" s="12">
        <f t="shared" si="4"/>
        <v>21.599999999999998</v>
      </c>
      <c r="I16" s="12">
        <f t="shared" si="4"/>
        <v>21.599999999999998</v>
      </c>
      <c r="J16" s="12">
        <f t="shared" si="4"/>
        <v>21.599999999999998</v>
      </c>
      <c r="K16" s="12">
        <f t="shared" si="4"/>
        <v>21.599999999999998</v>
      </c>
      <c r="L16" s="12">
        <f t="shared" si="4"/>
        <v>21.599999999999998</v>
      </c>
      <c r="M16" s="12">
        <f t="shared" si="4"/>
        <v>21.599999999999998</v>
      </c>
      <c r="N16" s="12">
        <f t="shared" si="4"/>
        <v>21.599999999999998</v>
      </c>
      <c r="O16" s="12">
        <f t="shared" si="4"/>
        <v>21.599999999999998</v>
      </c>
      <c r="P16" s="12">
        <f t="shared" si="4"/>
        <v>21.599999999999998</v>
      </c>
      <c r="Q16" s="12">
        <f t="shared" si="4"/>
        <v>21.599999999999998</v>
      </c>
      <c r="R16" s="12">
        <f t="shared" si="4"/>
        <v>21.599999999999998</v>
      </c>
      <c r="S16" s="12">
        <f t="shared" si="4"/>
        <v>21.599999999999998</v>
      </c>
      <c r="T16" s="12">
        <f t="shared" ref="T16:AF18" si="5">(S16)</f>
        <v>21.599999999999998</v>
      </c>
      <c r="U16" s="12">
        <f t="shared" si="5"/>
        <v>21.599999999999998</v>
      </c>
      <c r="V16" s="12">
        <f t="shared" si="5"/>
        <v>21.599999999999998</v>
      </c>
      <c r="W16" s="12">
        <f t="shared" si="5"/>
        <v>21.599999999999998</v>
      </c>
      <c r="X16" s="12">
        <f t="shared" si="5"/>
        <v>21.599999999999998</v>
      </c>
      <c r="Y16" s="12">
        <f t="shared" si="5"/>
        <v>21.599999999999998</v>
      </c>
      <c r="Z16" s="12">
        <f t="shared" si="5"/>
        <v>21.599999999999998</v>
      </c>
      <c r="AA16" s="12">
        <f t="shared" si="5"/>
        <v>21.599999999999998</v>
      </c>
      <c r="AB16" s="12">
        <f t="shared" si="5"/>
        <v>21.599999999999998</v>
      </c>
      <c r="AC16" s="12">
        <f t="shared" si="5"/>
        <v>21.599999999999998</v>
      </c>
      <c r="AD16" s="12">
        <f t="shared" si="5"/>
        <v>21.599999999999998</v>
      </c>
      <c r="AE16" s="12">
        <f t="shared" si="5"/>
        <v>21.599999999999998</v>
      </c>
      <c r="AF16" s="12">
        <f t="shared" si="5"/>
        <v>21.599999999999998</v>
      </c>
      <c r="AG16" s="12">
        <f t="shared" ref="AG16" si="6">SUM(B16:AF16)</f>
        <v>669.60000000000036</v>
      </c>
    </row>
    <row r="17" spans="1:33" x14ac:dyDescent="0.25">
      <c r="A17" s="9" t="s">
        <v>48</v>
      </c>
      <c r="B17" s="13">
        <f>(B9*6.1)</f>
        <v>42.699999999999996</v>
      </c>
      <c r="C17" s="13">
        <f>(B17)</f>
        <v>42.699999999999996</v>
      </c>
      <c r="D17" s="13">
        <f t="shared" si="4"/>
        <v>42.699999999999996</v>
      </c>
      <c r="E17" s="13">
        <f t="shared" si="4"/>
        <v>42.699999999999996</v>
      </c>
      <c r="F17" s="13">
        <f t="shared" si="4"/>
        <v>42.699999999999996</v>
      </c>
      <c r="G17" s="13">
        <f t="shared" si="4"/>
        <v>42.699999999999996</v>
      </c>
      <c r="H17" s="13">
        <f t="shared" si="4"/>
        <v>42.699999999999996</v>
      </c>
      <c r="I17" s="13">
        <f t="shared" si="4"/>
        <v>42.699999999999996</v>
      </c>
      <c r="J17" s="13">
        <f t="shared" si="4"/>
        <v>42.699999999999996</v>
      </c>
      <c r="K17" s="13">
        <f t="shared" si="4"/>
        <v>42.699999999999996</v>
      </c>
      <c r="L17" s="13">
        <f t="shared" si="4"/>
        <v>42.699999999999996</v>
      </c>
      <c r="M17" s="13">
        <f t="shared" si="4"/>
        <v>42.699999999999996</v>
      </c>
      <c r="N17" s="13">
        <f t="shared" si="4"/>
        <v>42.699999999999996</v>
      </c>
      <c r="O17" s="13">
        <f t="shared" si="4"/>
        <v>42.699999999999996</v>
      </c>
      <c r="P17" s="13">
        <f t="shared" si="4"/>
        <v>42.699999999999996</v>
      </c>
      <c r="Q17" s="13">
        <f t="shared" si="4"/>
        <v>42.699999999999996</v>
      </c>
      <c r="R17" s="13">
        <f t="shared" si="4"/>
        <v>42.699999999999996</v>
      </c>
      <c r="S17" s="13">
        <f t="shared" si="4"/>
        <v>42.699999999999996</v>
      </c>
      <c r="T17" s="13">
        <f t="shared" si="5"/>
        <v>42.699999999999996</v>
      </c>
      <c r="U17" s="13">
        <f t="shared" si="5"/>
        <v>42.699999999999996</v>
      </c>
      <c r="V17" s="13">
        <f t="shared" si="5"/>
        <v>42.699999999999996</v>
      </c>
      <c r="W17" s="13">
        <f t="shared" si="5"/>
        <v>42.699999999999996</v>
      </c>
      <c r="X17" s="13">
        <f t="shared" si="5"/>
        <v>42.699999999999996</v>
      </c>
      <c r="Y17" s="13">
        <f t="shared" si="5"/>
        <v>42.699999999999996</v>
      </c>
      <c r="Z17" s="13">
        <f t="shared" si="5"/>
        <v>42.699999999999996</v>
      </c>
      <c r="AA17" s="13">
        <f t="shared" si="5"/>
        <v>42.699999999999996</v>
      </c>
      <c r="AB17" s="13">
        <f t="shared" si="5"/>
        <v>42.699999999999996</v>
      </c>
      <c r="AC17" s="13">
        <f t="shared" si="5"/>
        <v>42.699999999999996</v>
      </c>
      <c r="AD17" s="13">
        <f t="shared" si="5"/>
        <v>42.699999999999996</v>
      </c>
      <c r="AE17" s="13">
        <f t="shared" si="5"/>
        <v>42.699999999999996</v>
      </c>
      <c r="AF17" s="13">
        <f t="shared" si="5"/>
        <v>42.699999999999996</v>
      </c>
      <c r="AG17" s="12"/>
    </row>
    <row r="18" spans="1:33" x14ac:dyDescent="0.25">
      <c r="A18" s="9" t="s">
        <v>106</v>
      </c>
      <c r="B18" s="13">
        <f>(B17*B5)</f>
        <v>213.49999999999997</v>
      </c>
      <c r="C18" s="13">
        <f>(B18)</f>
        <v>213.49999999999997</v>
      </c>
      <c r="D18" s="13">
        <f t="shared" si="4"/>
        <v>213.49999999999997</v>
      </c>
      <c r="E18" s="13">
        <f t="shared" si="4"/>
        <v>213.49999999999997</v>
      </c>
      <c r="F18" s="13">
        <f t="shared" si="4"/>
        <v>213.49999999999997</v>
      </c>
      <c r="G18" s="13">
        <f t="shared" si="4"/>
        <v>213.49999999999997</v>
      </c>
      <c r="H18" s="13">
        <f t="shared" si="4"/>
        <v>213.49999999999997</v>
      </c>
      <c r="I18" s="13">
        <f t="shared" si="4"/>
        <v>213.49999999999997</v>
      </c>
      <c r="J18" s="13">
        <f t="shared" si="4"/>
        <v>213.49999999999997</v>
      </c>
      <c r="K18" s="13">
        <f t="shared" si="4"/>
        <v>213.49999999999997</v>
      </c>
      <c r="L18" s="13">
        <f t="shared" si="4"/>
        <v>213.49999999999997</v>
      </c>
      <c r="M18" s="13">
        <f t="shared" si="4"/>
        <v>213.49999999999997</v>
      </c>
      <c r="N18" s="13">
        <f t="shared" si="4"/>
        <v>213.49999999999997</v>
      </c>
      <c r="O18" s="13">
        <f t="shared" si="4"/>
        <v>213.49999999999997</v>
      </c>
      <c r="P18" s="13">
        <f t="shared" si="4"/>
        <v>213.49999999999997</v>
      </c>
      <c r="Q18" s="13">
        <f t="shared" si="4"/>
        <v>213.49999999999997</v>
      </c>
      <c r="R18" s="13">
        <f t="shared" si="4"/>
        <v>213.49999999999997</v>
      </c>
      <c r="S18" s="13">
        <f t="shared" si="4"/>
        <v>213.49999999999997</v>
      </c>
      <c r="T18" s="13">
        <f t="shared" si="5"/>
        <v>213.49999999999997</v>
      </c>
      <c r="U18" s="13">
        <f t="shared" si="5"/>
        <v>213.49999999999997</v>
      </c>
      <c r="V18" s="13">
        <f t="shared" si="5"/>
        <v>213.49999999999997</v>
      </c>
      <c r="W18" s="13">
        <f t="shared" si="5"/>
        <v>213.49999999999997</v>
      </c>
      <c r="X18" s="13">
        <f t="shared" si="5"/>
        <v>213.49999999999997</v>
      </c>
      <c r="Y18" s="13">
        <f t="shared" si="5"/>
        <v>213.49999999999997</v>
      </c>
      <c r="Z18" s="13">
        <f t="shared" si="5"/>
        <v>213.49999999999997</v>
      </c>
      <c r="AA18" s="13">
        <f t="shared" si="5"/>
        <v>213.49999999999997</v>
      </c>
      <c r="AB18" s="13">
        <f t="shared" si="5"/>
        <v>213.49999999999997</v>
      </c>
      <c r="AC18" s="13">
        <f t="shared" si="5"/>
        <v>213.49999999999997</v>
      </c>
      <c r="AD18" s="13">
        <f t="shared" si="5"/>
        <v>213.49999999999997</v>
      </c>
      <c r="AE18" s="13">
        <f t="shared" si="5"/>
        <v>213.49999999999997</v>
      </c>
      <c r="AF18" s="13">
        <f t="shared" si="5"/>
        <v>213.49999999999997</v>
      </c>
      <c r="AG18" s="9"/>
    </row>
    <row r="19" spans="1:33" x14ac:dyDescent="0.25">
      <c r="A19" s="9" t="s">
        <v>107</v>
      </c>
      <c r="B19" s="13">
        <f>SUM(B18*365)</f>
        <v>77927.499999999985</v>
      </c>
      <c r="C19" s="13">
        <f>($B$19*C2)</f>
        <v>77927.499999999985</v>
      </c>
      <c r="D19" s="13">
        <f t="shared" ref="D19:AF19" si="7">($B$19*D2)</f>
        <v>155854.99999999997</v>
      </c>
      <c r="E19" s="13">
        <f t="shared" si="7"/>
        <v>233782.49999999994</v>
      </c>
      <c r="F19" s="13">
        <f t="shared" si="7"/>
        <v>311709.99999999994</v>
      </c>
      <c r="G19" s="13">
        <f t="shared" si="7"/>
        <v>389637.49999999994</v>
      </c>
      <c r="H19" s="13">
        <f t="shared" si="7"/>
        <v>467564.99999999988</v>
      </c>
      <c r="I19" s="13">
        <f t="shared" si="7"/>
        <v>545492.49999999988</v>
      </c>
      <c r="J19" s="13">
        <f t="shared" si="7"/>
        <v>623419.99999999988</v>
      </c>
      <c r="K19" s="13">
        <f t="shared" si="7"/>
        <v>701347.49999999988</v>
      </c>
      <c r="L19" s="13">
        <f t="shared" si="7"/>
        <v>779274.99999999988</v>
      </c>
      <c r="M19" s="13">
        <f t="shared" si="7"/>
        <v>857202.49999999988</v>
      </c>
      <c r="N19" s="13">
        <f t="shared" si="7"/>
        <v>935129.99999999977</v>
      </c>
      <c r="O19" s="13">
        <f t="shared" si="7"/>
        <v>1013057.4999999998</v>
      </c>
      <c r="P19" s="13">
        <f t="shared" si="7"/>
        <v>1090984.9999999998</v>
      </c>
      <c r="Q19" s="13">
        <f t="shared" si="7"/>
        <v>1168912.4999999998</v>
      </c>
      <c r="R19" s="13">
        <f t="shared" si="7"/>
        <v>1246839.9999999998</v>
      </c>
      <c r="S19" s="13">
        <f t="shared" si="7"/>
        <v>1324767.4999999998</v>
      </c>
      <c r="T19" s="13">
        <f t="shared" si="7"/>
        <v>1402694.9999999998</v>
      </c>
      <c r="U19" s="13">
        <f t="shared" si="7"/>
        <v>1480622.4999999998</v>
      </c>
      <c r="V19" s="13">
        <f t="shared" si="7"/>
        <v>1558549.9999999998</v>
      </c>
      <c r="W19" s="13">
        <f t="shared" si="7"/>
        <v>1636477.4999999998</v>
      </c>
      <c r="X19" s="13">
        <f t="shared" si="7"/>
        <v>1714404.9999999998</v>
      </c>
      <c r="Y19" s="13">
        <f t="shared" si="7"/>
        <v>1792332.4999999998</v>
      </c>
      <c r="Z19" s="13">
        <f t="shared" si="7"/>
        <v>1870259.9999999995</v>
      </c>
      <c r="AA19" s="13">
        <f t="shared" si="7"/>
        <v>1948187.4999999995</v>
      </c>
      <c r="AB19" s="13">
        <f t="shared" si="7"/>
        <v>2026114.9999999995</v>
      </c>
      <c r="AC19" s="13">
        <f t="shared" si="7"/>
        <v>2104042.4999999995</v>
      </c>
      <c r="AD19" s="13">
        <f t="shared" si="7"/>
        <v>2181969.9999999995</v>
      </c>
      <c r="AE19" s="13">
        <f t="shared" si="7"/>
        <v>2259897.4999999995</v>
      </c>
      <c r="AF19" s="13">
        <f t="shared" si="7"/>
        <v>2337824.9999999995</v>
      </c>
      <c r="AG19" s="9"/>
    </row>
    <row r="20" spans="1:33" x14ac:dyDescent="0.25">
      <c r="A20" s="9" t="s">
        <v>89</v>
      </c>
      <c r="B20" s="12">
        <f>SUM(B11+B12+B14+B16)</f>
        <v>939.2</v>
      </c>
      <c r="C20" s="12">
        <f t="shared" ref="C20:AF20" si="8">SUM(C10+C11+C12+C14+C16)</f>
        <v>21.599999999999998</v>
      </c>
      <c r="D20" s="12">
        <f t="shared" si="8"/>
        <v>21.599999999999998</v>
      </c>
      <c r="E20" s="12">
        <f t="shared" si="8"/>
        <v>21.599999999999998</v>
      </c>
      <c r="F20" s="12">
        <f t="shared" si="8"/>
        <v>21.599999999999998</v>
      </c>
      <c r="G20" s="12">
        <f t="shared" si="8"/>
        <v>21.599999999999998</v>
      </c>
      <c r="H20" s="12">
        <f t="shared" si="8"/>
        <v>21.599999999999998</v>
      </c>
      <c r="I20" s="12">
        <f t="shared" si="8"/>
        <v>21.599999999999998</v>
      </c>
      <c r="J20" s="12">
        <f t="shared" si="8"/>
        <v>21.599999999999998</v>
      </c>
      <c r="K20" s="12">
        <f t="shared" si="8"/>
        <v>21.599999999999998</v>
      </c>
      <c r="L20" s="12">
        <f t="shared" si="8"/>
        <v>21.599999999999998</v>
      </c>
      <c r="M20" s="12">
        <f t="shared" si="8"/>
        <v>21.599999999999998</v>
      </c>
      <c r="N20" s="12">
        <f t="shared" si="8"/>
        <v>21.599999999999998</v>
      </c>
      <c r="O20" s="12">
        <f t="shared" si="8"/>
        <v>21.599999999999998</v>
      </c>
      <c r="P20" s="12">
        <f t="shared" si="8"/>
        <v>21.599999999999998</v>
      </c>
      <c r="Q20" s="12">
        <f t="shared" si="8"/>
        <v>21.599999999999998</v>
      </c>
      <c r="R20" s="12">
        <f t="shared" si="8"/>
        <v>21.599999999999998</v>
      </c>
      <c r="S20" s="12">
        <f t="shared" si="8"/>
        <v>21.599999999999998</v>
      </c>
      <c r="T20" s="12">
        <f t="shared" si="8"/>
        <v>21.599999999999998</v>
      </c>
      <c r="U20" s="12">
        <f t="shared" si="8"/>
        <v>21.599999999999998</v>
      </c>
      <c r="V20" s="12">
        <f t="shared" si="8"/>
        <v>21.599999999999998</v>
      </c>
      <c r="W20" s="12">
        <f t="shared" si="8"/>
        <v>21.599999999999998</v>
      </c>
      <c r="X20" s="12">
        <f t="shared" si="8"/>
        <v>21.599999999999998</v>
      </c>
      <c r="Y20" s="12">
        <f t="shared" si="8"/>
        <v>21.599999999999998</v>
      </c>
      <c r="Z20" s="12">
        <f t="shared" si="8"/>
        <v>21.599999999999998</v>
      </c>
      <c r="AA20" s="12">
        <f t="shared" si="8"/>
        <v>21.599999999999998</v>
      </c>
      <c r="AB20" s="12">
        <f t="shared" si="8"/>
        <v>21.599999999999998</v>
      </c>
      <c r="AC20" s="12">
        <f t="shared" si="8"/>
        <v>21.599999999999998</v>
      </c>
      <c r="AD20" s="12">
        <f t="shared" si="8"/>
        <v>21.599999999999998</v>
      </c>
      <c r="AE20" s="12">
        <f t="shared" si="8"/>
        <v>21.599999999999998</v>
      </c>
      <c r="AF20" s="12">
        <f t="shared" si="8"/>
        <v>21.599999999999998</v>
      </c>
      <c r="AG20" s="9"/>
    </row>
    <row r="21" spans="1:33" x14ac:dyDescent="0.25">
      <c r="A21" s="9" t="s">
        <v>117</v>
      </c>
      <c r="B21" s="12">
        <f>B20</f>
        <v>939.2</v>
      </c>
      <c r="C21" s="12">
        <f>B21+C20</f>
        <v>960.80000000000007</v>
      </c>
      <c r="D21" s="12">
        <f t="shared" ref="D21:AF21" si="9">C21+D20</f>
        <v>982.40000000000009</v>
      </c>
      <c r="E21" s="12">
        <f t="shared" si="9"/>
        <v>1004.0000000000001</v>
      </c>
      <c r="F21" s="12">
        <f t="shared" si="9"/>
        <v>1025.6000000000001</v>
      </c>
      <c r="G21" s="12">
        <f t="shared" si="9"/>
        <v>1047.2</v>
      </c>
      <c r="H21" s="12">
        <f t="shared" si="9"/>
        <v>1068.8</v>
      </c>
      <c r="I21" s="12">
        <f t="shared" si="9"/>
        <v>1090.3999999999999</v>
      </c>
      <c r="J21" s="12">
        <f t="shared" si="9"/>
        <v>1111.9999999999998</v>
      </c>
      <c r="K21" s="12">
        <f t="shared" si="9"/>
        <v>1133.5999999999997</v>
      </c>
      <c r="L21" s="12">
        <f t="shared" si="9"/>
        <v>1155.1999999999996</v>
      </c>
      <c r="M21" s="12">
        <f t="shared" si="9"/>
        <v>1176.7999999999995</v>
      </c>
      <c r="N21" s="12">
        <f t="shared" si="9"/>
        <v>1198.3999999999994</v>
      </c>
      <c r="O21" s="12">
        <f t="shared" si="9"/>
        <v>1219.9999999999993</v>
      </c>
      <c r="P21" s="12">
        <f t="shared" si="9"/>
        <v>1241.5999999999992</v>
      </c>
      <c r="Q21" s="12">
        <f t="shared" si="9"/>
        <v>1263.1999999999991</v>
      </c>
      <c r="R21" s="12">
        <f t="shared" si="9"/>
        <v>1284.799999999999</v>
      </c>
      <c r="S21" s="12">
        <f t="shared" si="9"/>
        <v>1306.399999999999</v>
      </c>
      <c r="T21" s="12">
        <f t="shared" si="9"/>
        <v>1327.9999999999989</v>
      </c>
      <c r="U21" s="12">
        <f t="shared" si="9"/>
        <v>1349.5999999999988</v>
      </c>
      <c r="V21" s="12">
        <f t="shared" si="9"/>
        <v>1371.1999999999987</v>
      </c>
      <c r="W21" s="12">
        <f t="shared" si="9"/>
        <v>1392.7999999999986</v>
      </c>
      <c r="X21" s="12">
        <f t="shared" si="9"/>
        <v>1414.3999999999985</v>
      </c>
      <c r="Y21" s="12">
        <f t="shared" si="9"/>
        <v>1435.9999999999984</v>
      </c>
      <c r="Z21" s="12">
        <f t="shared" si="9"/>
        <v>1457.5999999999983</v>
      </c>
      <c r="AA21" s="12">
        <f t="shared" si="9"/>
        <v>1479.1999999999982</v>
      </c>
      <c r="AB21" s="12">
        <f t="shared" si="9"/>
        <v>1500.7999999999981</v>
      </c>
      <c r="AC21" s="12">
        <f t="shared" si="9"/>
        <v>1522.399999999998</v>
      </c>
      <c r="AD21" s="12">
        <f t="shared" si="9"/>
        <v>1543.999999999998</v>
      </c>
      <c r="AE21" s="12">
        <f t="shared" si="9"/>
        <v>1565.5999999999979</v>
      </c>
      <c r="AF21" s="12">
        <f t="shared" si="9"/>
        <v>1587.1999999999978</v>
      </c>
      <c r="AG21" s="9"/>
    </row>
    <row r="22" spans="1:33" x14ac:dyDescent="0.25">
      <c r="A22" s="9" t="s">
        <v>87</v>
      </c>
      <c r="B22" s="12">
        <f>SUM(AG10:AG16)</f>
        <v>1659.2000000000003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>
        <f>SUM(AG11:AG16)</f>
        <v>1659.2000000000003</v>
      </c>
    </row>
    <row r="23" spans="1:33" x14ac:dyDescent="0.25">
      <c r="A23" s="9" t="s">
        <v>118</v>
      </c>
      <c r="B23" s="12">
        <f>B20</f>
        <v>939.2</v>
      </c>
      <c r="C23" s="12">
        <f>SUM(C21/C2)</f>
        <v>960.80000000000007</v>
      </c>
      <c r="D23" s="12">
        <f t="shared" ref="D23:AF23" si="10">SUM(D21/D2)</f>
        <v>491.20000000000005</v>
      </c>
      <c r="E23" s="12">
        <f t="shared" si="10"/>
        <v>334.66666666666669</v>
      </c>
      <c r="F23" s="12">
        <f t="shared" si="10"/>
        <v>256.40000000000003</v>
      </c>
      <c r="G23" s="12">
        <f t="shared" si="10"/>
        <v>209.44</v>
      </c>
      <c r="H23" s="12">
        <f t="shared" si="10"/>
        <v>178.13333333333333</v>
      </c>
      <c r="I23" s="12">
        <f t="shared" si="10"/>
        <v>155.77142857142854</v>
      </c>
      <c r="J23" s="12">
        <f t="shared" si="10"/>
        <v>138.99999999999997</v>
      </c>
      <c r="K23" s="12">
        <f t="shared" si="10"/>
        <v>125.95555555555552</v>
      </c>
      <c r="L23" s="12">
        <f t="shared" si="10"/>
        <v>115.51999999999995</v>
      </c>
      <c r="M23" s="12">
        <f t="shared" si="10"/>
        <v>106.98181818181814</v>
      </c>
      <c r="N23" s="12">
        <f t="shared" si="10"/>
        <v>99.866666666666617</v>
      </c>
      <c r="O23" s="12">
        <f t="shared" si="10"/>
        <v>93.846153846153797</v>
      </c>
      <c r="P23" s="12">
        <f t="shared" si="10"/>
        <v>88.685714285714226</v>
      </c>
      <c r="Q23" s="12">
        <f t="shared" si="10"/>
        <v>84.213333333333281</v>
      </c>
      <c r="R23" s="12">
        <f t="shared" si="10"/>
        <v>80.29999999999994</v>
      </c>
      <c r="S23" s="12">
        <f t="shared" si="10"/>
        <v>76.847058823529352</v>
      </c>
      <c r="T23" s="12">
        <f t="shared" si="10"/>
        <v>73.777777777777715</v>
      </c>
      <c r="U23" s="12">
        <f t="shared" si="10"/>
        <v>71.031578947368359</v>
      </c>
      <c r="V23" s="12">
        <f t="shared" si="10"/>
        <v>68.559999999999931</v>
      </c>
      <c r="W23" s="12">
        <f t="shared" si="10"/>
        <v>66.323809523809459</v>
      </c>
      <c r="X23" s="12">
        <f t="shared" si="10"/>
        <v>64.290909090909025</v>
      </c>
      <c r="Y23" s="12">
        <f t="shared" si="10"/>
        <v>62.434782608695585</v>
      </c>
      <c r="Z23" s="12">
        <f t="shared" si="10"/>
        <v>60.733333333333263</v>
      </c>
      <c r="AA23" s="12">
        <f t="shared" si="10"/>
        <v>59.167999999999928</v>
      </c>
      <c r="AB23" s="12">
        <f t="shared" si="10"/>
        <v>57.723076923076853</v>
      </c>
      <c r="AC23" s="12">
        <f t="shared" si="10"/>
        <v>56.385185185185115</v>
      </c>
      <c r="AD23" s="12">
        <f t="shared" si="10"/>
        <v>55.142857142857068</v>
      </c>
      <c r="AE23" s="12">
        <f t="shared" si="10"/>
        <v>53.98620689655165</v>
      </c>
      <c r="AF23" s="12">
        <f t="shared" si="10"/>
        <v>52.906666666666595</v>
      </c>
      <c r="AG23" s="12"/>
    </row>
    <row r="24" spans="1:33" s="69" customFormat="1" x14ac:dyDescent="0.25">
      <c r="A24" s="68" t="s">
        <v>108</v>
      </c>
      <c r="B24" s="68">
        <f>(B21/B19)</f>
        <v>1.2052228032466077E-2</v>
      </c>
      <c r="C24" s="68">
        <f t="shared" ref="C24:AF24" si="11">(C21/C19)</f>
        <v>1.2329408745308142E-2</v>
      </c>
      <c r="D24" s="68">
        <f t="shared" si="11"/>
        <v>6.3032947290751033E-3</v>
      </c>
      <c r="E24" s="68">
        <f t="shared" si="11"/>
        <v>4.2945900569974242E-3</v>
      </c>
      <c r="F24" s="68">
        <f t="shared" si="11"/>
        <v>3.2902377209585842E-3</v>
      </c>
      <c r="G24" s="68">
        <f t="shared" si="11"/>
        <v>2.6876263193352803E-3</v>
      </c>
      <c r="H24" s="68">
        <f t="shared" si="11"/>
        <v>2.2858853849197442E-3</v>
      </c>
      <c r="I24" s="68">
        <f t="shared" si="11"/>
        <v>1.9989275746229327E-3</v>
      </c>
      <c r="J24" s="68">
        <f t="shared" si="11"/>
        <v>1.7837092169003239E-3</v>
      </c>
      <c r="K24" s="68">
        <f t="shared" si="11"/>
        <v>1.6163171608938507E-3</v>
      </c>
      <c r="L24" s="68">
        <f t="shared" si="11"/>
        <v>1.4824035160886718E-3</v>
      </c>
      <c r="M24" s="68">
        <f t="shared" si="11"/>
        <v>1.3728378067026166E-3</v>
      </c>
      <c r="N24" s="68">
        <f t="shared" si="11"/>
        <v>1.2815330488809039E-3</v>
      </c>
      <c r="O24" s="68">
        <f t="shared" si="11"/>
        <v>1.2042751768779163E-3</v>
      </c>
      <c r="P24" s="68">
        <f t="shared" si="11"/>
        <v>1.1380541437324982E-3</v>
      </c>
      <c r="Q24" s="68">
        <f t="shared" si="11"/>
        <v>1.0806625816731359E-3</v>
      </c>
      <c r="R24" s="68">
        <f t="shared" si="11"/>
        <v>1.0304449648711937E-3</v>
      </c>
      <c r="S24" s="68">
        <f t="shared" si="11"/>
        <v>9.8613530298712732E-4</v>
      </c>
      <c r="T24" s="68">
        <f t="shared" si="11"/>
        <v>9.467489368679571E-4</v>
      </c>
      <c r="U24" s="68">
        <f t="shared" si="11"/>
        <v>9.1150850402448903E-4</v>
      </c>
      <c r="V24" s="68">
        <f t="shared" si="11"/>
        <v>8.7979211446536775E-4</v>
      </c>
      <c r="W24" s="68">
        <f t="shared" si="11"/>
        <v>8.5109633343568658E-4</v>
      </c>
      <c r="X24" s="68">
        <f t="shared" si="11"/>
        <v>8.2500925977234006E-4</v>
      </c>
      <c r="Y24" s="68">
        <f t="shared" si="11"/>
        <v>8.0119062729711065E-4</v>
      </c>
      <c r="Z24" s="68">
        <f t="shared" si="11"/>
        <v>7.7935688086148383E-4</v>
      </c>
      <c r="AA24" s="68">
        <f t="shared" si="11"/>
        <v>7.5926983414070694E-4</v>
      </c>
      <c r="AB24" s="68">
        <f t="shared" si="11"/>
        <v>7.4072794485998989E-4</v>
      </c>
      <c r="AC24" s="68">
        <f t="shared" si="11"/>
        <v>7.2355952885932594E-4</v>
      </c>
      <c r="AD24" s="68">
        <f t="shared" si="11"/>
        <v>7.0761742828728087E-4</v>
      </c>
      <c r="AE24" s="68">
        <f t="shared" si="11"/>
        <v>6.9277478292710103E-4</v>
      </c>
      <c r="AF24" s="68">
        <f t="shared" si="11"/>
        <v>6.789216472575997E-4</v>
      </c>
      <c r="AG24" s="68"/>
    </row>
    <row r="25" spans="1:33" s="69" customFormat="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</row>
    <row r="26" spans="1:33" x14ac:dyDescent="0.25">
      <c r="A26" s="8" t="s">
        <v>60</v>
      </c>
      <c r="B26" s="1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2"/>
    </row>
    <row r="27" spans="1:33" x14ac:dyDescent="0.25">
      <c r="A27" s="9" t="s">
        <v>22</v>
      </c>
      <c r="B27" s="12">
        <f>ROUNDUP(B4/B34,0)*575</f>
        <v>575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12">
        <f>SUM(B27:AF27)</f>
        <v>575</v>
      </c>
    </row>
    <row r="28" spans="1:33" x14ac:dyDescent="0.25">
      <c r="A28" s="9" t="s">
        <v>13</v>
      </c>
      <c r="B28" s="12">
        <v>273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12">
        <f t="shared" ref="AG28:AG32" si="12">SUM(B28:AF28)</f>
        <v>273</v>
      </c>
    </row>
    <row r="29" spans="1:33" x14ac:dyDescent="0.25">
      <c r="A29" s="9" t="s">
        <v>23</v>
      </c>
      <c r="B29" s="9">
        <v>75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/>
    </row>
    <row r="30" spans="1:33" x14ac:dyDescent="0.25">
      <c r="A30" s="9" t="s">
        <v>24</v>
      </c>
      <c r="B30" s="12">
        <f>B29*1</f>
        <v>75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12">
        <f t="shared" si="12"/>
        <v>75</v>
      </c>
    </row>
    <row r="31" spans="1:33" x14ac:dyDescent="0.25">
      <c r="A31" s="9" t="s">
        <v>132</v>
      </c>
      <c r="B31" s="12">
        <f>(9*12)+350</f>
        <v>458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12">
        <f t="shared" si="12"/>
        <v>458</v>
      </c>
    </row>
    <row r="32" spans="1:33" x14ac:dyDescent="0.25">
      <c r="A32" s="9" t="s">
        <v>12</v>
      </c>
      <c r="B32" s="12">
        <f>0.15*4*12</f>
        <v>7.1999999999999993</v>
      </c>
      <c r="C32" s="12">
        <f>(B32)</f>
        <v>7.1999999999999993</v>
      </c>
      <c r="D32" s="12">
        <f t="shared" ref="D32:AF32" si="13">(C32)</f>
        <v>7.1999999999999993</v>
      </c>
      <c r="E32" s="12">
        <f t="shared" si="13"/>
        <v>7.1999999999999993</v>
      </c>
      <c r="F32" s="12">
        <f t="shared" si="13"/>
        <v>7.1999999999999993</v>
      </c>
      <c r="G32" s="12">
        <f t="shared" si="13"/>
        <v>7.1999999999999993</v>
      </c>
      <c r="H32" s="12">
        <f t="shared" si="13"/>
        <v>7.1999999999999993</v>
      </c>
      <c r="I32" s="12">
        <f t="shared" si="13"/>
        <v>7.1999999999999993</v>
      </c>
      <c r="J32" s="12">
        <f t="shared" si="13"/>
        <v>7.1999999999999993</v>
      </c>
      <c r="K32" s="12">
        <f t="shared" si="13"/>
        <v>7.1999999999999993</v>
      </c>
      <c r="L32" s="12">
        <f t="shared" si="13"/>
        <v>7.1999999999999993</v>
      </c>
      <c r="M32" s="12">
        <f t="shared" si="13"/>
        <v>7.1999999999999993</v>
      </c>
      <c r="N32" s="12">
        <f t="shared" si="13"/>
        <v>7.1999999999999993</v>
      </c>
      <c r="O32" s="12">
        <f t="shared" si="13"/>
        <v>7.1999999999999993</v>
      </c>
      <c r="P32" s="12">
        <f t="shared" si="13"/>
        <v>7.1999999999999993</v>
      </c>
      <c r="Q32" s="12">
        <f t="shared" si="13"/>
        <v>7.1999999999999993</v>
      </c>
      <c r="R32" s="12">
        <f t="shared" si="13"/>
        <v>7.1999999999999993</v>
      </c>
      <c r="S32" s="12">
        <f t="shared" si="13"/>
        <v>7.1999999999999993</v>
      </c>
      <c r="T32" s="12">
        <f t="shared" si="13"/>
        <v>7.1999999999999993</v>
      </c>
      <c r="U32" s="12">
        <f t="shared" si="13"/>
        <v>7.1999999999999993</v>
      </c>
      <c r="V32" s="12">
        <f t="shared" si="13"/>
        <v>7.1999999999999993</v>
      </c>
      <c r="W32" s="12">
        <f t="shared" si="13"/>
        <v>7.1999999999999993</v>
      </c>
      <c r="X32" s="12">
        <f t="shared" si="13"/>
        <v>7.1999999999999993</v>
      </c>
      <c r="Y32" s="12">
        <f t="shared" si="13"/>
        <v>7.1999999999999993</v>
      </c>
      <c r="Z32" s="12">
        <f t="shared" si="13"/>
        <v>7.1999999999999993</v>
      </c>
      <c r="AA32" s="12">
        <f t="shared" si="13"/>
        <v>7.1999999999999993</v>
      </c>
      <c r="AB32" s="12">
        <f t="shared" si="13"/>
        <v>7.1999999999999993</v>
      </c>
      <c r="AC32" s="12">
        <f t="shared" si="13"/>
        <v>7.1999999999999993</v>
      </c>
      <c r="AD32" s="12">
        <f t="shared" si="13"/>
        <v>7.1999999999999993</v>
      </c>
      <c r="AE32" s="12">
        <f t="shared" si="13"/>
        <v>7.1999999999999993</v>
      </c>
      <c r="AF32" s="12">
        <f t="shared" si="13"/>
        <v>7.1999999999999993</v>
      </c>
      <c r="AG32" s="12">
        <f t="shared" si="12"/>
        <v>223.19999999999987</v>
      </c>
    </row>
    <row r="33" spans="1:33" x14ac:dyDescent="0.25">
      <c r="A33" s="9" t="s">
        <v>104</v>
      </c>
      <c r="B33" s="15">
        <v>31</v>
      </c>
      <c r="C33" s="15">
        <f>B33</f>
        <v>31</v>
      </c>
      <c r="D33" s="15">
        <f t="shared" ref="D33:AF33" si="14">C33</f>
        <v>31</v>
      </c>
      <c r="E33" s="15">
        <f t="shared" si="14"/>
        <v>31</v>
      </c>
      <c r="F33" s="15">
        <f t="shared" si="14"/>
        <v>31</v>
      </c>
      <c r="G33" s="15">
        <f t="shared" si="14"/>
        <v>31</v>
      </c>
      <c r="H33" s="15">
        <f t="shared" si="14"/>
        <v>31</v>
      </c>
      <c r="I33" s="15">
        <f t="shared" si="14"/>
        <v>31</v>
      </c>
      <c r="J33" s="15">
        <f t="shared" si="14"/>
        <v>31</v>
      </c>
      <c r="K33" s="15">
        <f t="shared" si="14"/>
        <v>31</v>
      </c>
      <c r="L33" s="15">
        <f t="shared" si="14"/>
        <v>31</v>
      </c>
      <c r="M33" s="15">
        <f t="shared" si="14"/>
        <v>31</v>
      </c>
      <c r="N33" s="15">
        <f t="shared" si="14"/>
        <v>31</v>
      </c>
      <c r="O33" s="15">
        <f t="shared" si="14"/>
        <v>31</v>
      </c>
      <c r="P33" s="15">
        <f t="shared" si="14"/>
        <v>31</v>
      </c>
      <c r="Q33" s="15">
        <f t="shared" si="14"/>
        <v>31</v>
      </c>
      <c r="R33" s="15">
        <f t="shared" si="14"/>
        <v>31</v>
      </c>
      <c r="S33" s="15">
        <f t="shared" si="14"/>
        <v>31</v>
      </c>
      <c r="T33" s="15">
        <f t="shared" si="14"/>
        <v>31</v>
      </c>
      <c r="U33" s="15">
        <f t="shared" si="14"/>
        <v>31</v>
      </c>
      <c r="V33" s="15">
        <f t="shared" si="14"/>
        <v>31</v>
      </c>
      <c r="W33" s="15">
        <f t="shared" si="14"/>
        <v>31</v>
      </c>
      <c r="X33" s="15">
        <f t="shared" si="14"/>
        <v>31</v>
      </c>
      <c r="Y33" s="15">
        <f t="shared" si="14"/>
        <v>31</v>
      </c>
      <c r="Z33" s="15">
        <f t="shared" si="14"/>
        <v>31</v>
      </c>
      <c r="AA33" s="15">
        <f t="shared" si="14"/>
        <v>31</v>
      </c>
      <c r="AB33" s="15">
        <f t="shared" si="14"/>
        <v>31</v>
      </c>
      <c r="AC33" s="15">
        <f t="shared" si="14"/>
        <v>31</v>
      </c>
      <c r="AD33" s="15">
        <f t="shared" si="14"/>
        <v>31</v>
      </c>
      <c r="AE33" s="15">
        <f t="shared" si="14"/>
        <v>31</v>
      </c>
      <c r="AF33" s="15">
        <f t="shared" si="14"/>
        <v>31</v>
      </c>
      <c r="AG33" s="12"/>
    </row>
    <row r="34" spans="1:33" x14ac:dyDescent="0.25">
      <c r="A34" s="9" t="s">
        <v>120</v>
      </c>
      <c r="B34" s="15">
        <f>(B33*24)</f>
        <v>744</v>
      </c>
      <c r="C34" s="15">
        <f t="shared" ref="C34:AF34" si="15">(C33*24)</f>
        <v>744</v>
      </c>
      <c r="D34" s="15">
        <f t="shared" si="15"/>
        <v>744</v>
      </c>
      <c r="E34" s="15">
        <f t="shared" si="15"/>
        <v>744</v>
      </c>
      <c r="F34" s="15">
        <f t="shared" si="15"/>
        <v>744</v>
      </c>
      <c r="G34" s="15">
        <f t="shared" si="15"/>
        <v>744</v>
      </c>
      <c r="H34" s="15">
        <f t="shared" si="15"/>
        <v>744</v>
      </c>
      <c r="I34" s="15">
        <f t="shared" si="15"/>
        <v>744</v>
      </c>
      <c r="J34" s="15">
        <f t="shared" si="15"/>
        <v>744</v>
      </c>
      <c r="K34" s="15">
        <f t="shared" si="15"/>
        <v>744</v>
      </c>
      <c r="L34" s="15">
        <f t="shared" si="15"/>
        <v>744</v>
      </c>
      <c r="M34" s="15">
        <f t="shared" si="15"/>
        <v>744</v>
      </c>
      <c r="N34" s="15">
        <f t="shared" si="15"/>
        <v>744</v>
      </c>
      <c r="O34" s="15">
        <f t="shared" si="15"/>
        <v>744</v>
      </c>
      <c r="P34" s="15">
        <f t="shared" si="15"/>
        <v>744</v>
      </c>
      <c r="Q34" s="15">
        <f t="shared" si="15"/>
        <v>744</v>
      </c>
      <c r="R34" s="15">
        <f t="shared" si="15"/>
        <v>744</v>
      </c>
      <c r="S34" s="15">
        <f t="shared" si="15"/>
        <v>744</v>
      </c>
      <c r="T34" s="15">
        <f t="shared" si="15"/>
        <v>744</v>
      </c>
      <c r="U34" s="15">
        <f t="shared" si="15"/>
        <v>744</v>
      </c>
      <c r="V34" s="15">
        <f t="shared" si="15"/>
        <v>744</v>
      </c>
      <c r="W34" s="15">
        <f t="shared" si="15"/>
        <v>744</v>
      </c>
      <c r="X34" s="15">
        <f t="shared" si="15"/>
        <v>744</v>
      </c>
      <c r="Y34" s="15">
        <f t="shared" si="15"/>
        <v>744</v>
      </c>
      <c r="Z34" s="15">
        <f t="shared" si="15"/>
        <v>744</v>
      </c>
      <c r="AA34" s="15">
        <f t="shared" si="15"/>
        <v>744</v>
      </c>
      <c r="AB34" s="15">
        <f t="shared" si="15"/>
        <v>744</v>
      </c>
      <c r="AC34" s="15">
        <f t="shared" si="15"/>
        <v>744</v>
      </c>
      <c r="AD34" s="15">
        <f t="shared" si="15"/>
        <v>744</v>
      </c>
      <c r="AE34" s="15">
        <f t="shared" si="15"/>
        <v>744</v>
      </c>
      <c r="AF34" s="15">
        <f t="shared" si="15"/>
        <v>744</v>
      </c>
      <c r="AG34" s="12"/>
    </row>
    <row r="35" spans="1:33" x14ac:dyDescent="0.25">
      <c r="A35" s="9" t="s">
        <v>119</v>
      </c>
      <c r="B35" s="13">
        <f>SUM(B34*365)</f>
        <v>271560</v>
      </c>
      <c r="C35" s="13">
        <f>($B$35*C2)</f>
        <v>271560</v>
      </c>
      <c r="D35" s="13">
        <f t="shared" ref="D35:AF35" si="16">($B$35*D2)</f>
        <v>543120</v>
      </c>
      <c r="E35" s="13">
        <f t="shared" si="16"/>
        <v>814680</v>
      </c>
      <c r="F35" s="13">
        <f t="shared" si="16"/>
        <v>1086240</v>
      </c>
      <c r="G35" s="13">
        <f t="shared" si="16"/>
        <v>1357800</v>
      </c>
      <c r="H35" s="13">
        <f t="shared" si="16"/>
        <v>1629360</v>
      </c>
      <c r="I35" s="13">
        <f t="shared" si="16"/>
        <v>1900920</v>
      </c>
      <c r="J35" s="13">
        <f t="shared" si="16"/>
        <v>2172480</v>
      </c>
      <c r="K35" s="13">
        <f t="shared" si="16"/>
        <v>2444040</v>
      </c>
      <c r="L35" s="13">
        <f t="shared" si="16"/>
        <v>2715600</v>
      </c>
      <c r="M35" s="13">
        <f t="shared" si="16"/>
        <v>2987160</v>
      </c>
      <c r="N35" s="13">
        <f t="shared" si="16"/>
        <v>3258720</v>
      </c>
      <c r="O35" s="13">
        <f t="shared" si="16"/>
        <v>3530280</v>
      </c>
      <c r="P35" s="13">
        <f t="shared" si="16"/>
        <v>3801840</v>
      </c>
      <c r="Q35" s="13">
        <f t="shared" si="16"/>
        <v>4073400</v>
      </c>
      <c r="R35" s="13">
        <f t="shared" si="16"/>
        <v>4344960</v>
      </c>
      <c r="S35" s="13">
        <f t="shared" si="16"/>
        <v>4616520</v>
      </c>
      <c r="T35" s="13">
        <f t="shared" si="16"/>
        <v>4888080</v>
      </c>
      <c r="U35" s="13">
        <f t="shared" si="16"/>
        <v>5159640</v>
      </c>
      <c r="V35" s="13">
        <f t="shared" si="16"/>
        <v>5431200</v>
      </c>
      <c r="W35" s="13">
        <f t="shared" si="16"/>
        <v>5702760</v>
      </c>
      <c r="X35" s="13">
        <f t="shared" si="16"/>
        <v>5974320</v>
      </c>
      <c r="Y35" s="13">
        <f t="shared" si="16"/>
        <v>6245880</v>
      </c>
      <c r="Z35" s="13">
        <f t="shared" si="16"/>
        <v>6517440</v>
      </c>
      <c r="AA35" s="13">
        <f t="shared" si="16"/>
        <v>6789000</v>
      </c>
      <c r="AB35" s="13">
        <f t="shared" si="16"/>
        <v>7060560</v>
      </c>
      <c r="AC35" s="13">
        <f t="shared" si="16"/>
        <v>7332120</v>
      </c>
      <c r="AD35" s="13">
        <f t="shared" si="16"/>
        <v>7603680</v>
      </c>
      <c r="AE35" s="13">
        <f t="shared" si="16"/>
        <v>7875240</v>
      </c>
      <c r="AF35" s="13">
        <f t="shared" si="16"/>
        <v>8146800</v>
      </c>
      <c r="AG35" s="9"/>
    </row>
    <row r="36" spans="1:33" x14ac:dyDescent="0.25">
      <c r="A36" s="9" t="s">
        <v>88</v>
      </c>
      <c r="B36" s="12">
        <f>SUM(B27+B28+B30+B32)</f>
        <v>930.2</v>
      </c>
      <c r="C36" s="12">
        <f t="shared" ref="C36:AF36" si="17">SUM(C26+C27+C28+C30+C32)</f>
        <v>7.1999999999999993</v>
      </c>
      <c r="D36" s="12">
        <f t="shared" si="17"/>
        <v>7.1999999999999993</v>
      </c>
      <c r="E36" s="12">
        <f t="shared" si="17"/>
        <v>7.1999999999999993</v>
      </c>
      <c r="F36" s="12">
        <f t="shared" si="17"/>
        <v>7.1999999999999993</v>
      </c>
      <c r="G36" s="12">
        <f t="shared" si="17"/>
        <v>7.1999999999999993</v>
      </c>
      <c r="H36" s="12">
        <f t="shared" si="17"/>
        <v>7.1999999999999993</v>
      </c>
      <c r="I36" s="12">
        <f t="shared" si="17"/>
        <v>7.1999999999999993</v>
      </c>
      <c r="J36" s="12">
        <f t="shared" si="17"/>
        <v>7.1999999999999993</v>
      </c>
      <c r="K36" s="12">
        <f t="shared" si="17"/>
        <v>7.1999999999999993</v>
      </c>
      <c r="L36" s="12">
        <f t="shared" si="17"/>
        <v>7.1999999999999993</v>
      </c>
      <c r="M36" s="12">
        <f t="shared" si="17"/>
        <v>7.1999999999999993</v>
      </c>
      <c r="N36" s="12">
        <f t="shared" si="17"/>
        <v>7.1999999999999993</v>
      </c>
      <c r="O36" s="12">
        <f t="shared" si="17"/>
        <v>7.1999999999999993</v>
      </c>
      <c r="P36" s="12">
        <f t="shared" si="17"/>
        <v>7.1999999999999993</v>
      </c>
      <c r="Q36" s="12">
        <f t="shared" si="17"/>
        <v>7.1999999999999993</v>
      </c>
      <c r="R36" s="12">
        <f t="shared" si="17"/>
        <v>7.1999999999999993</v>
      </c>
      <c r="S36" s="12">
        <f t="shared" si="17"/>
        <v>7.1999999999999993</v>
      </c>
      <c r="T36" s="12">
        <f t="shared" si="17"/>
        <v>7.1999999999999993</v>
      </c>
      <c r="U36" s="12">
        <f t="shared" si="17"/>
        <v>7.1999999999999993</v>
      </c>
      <c r="V36" s="12">
        <f t="shared" si="17"/>
        <v>7.1999999999999993</v>
      </c>
      <c r="W36" s="12">
        <f t="shared" si="17"/>
        <v>7.1999999999999993</v>
      </c>
      <c r="X36" s="12">
        <f t="shared" si="17"/>
        <v>7.1999999999999993</v>
      </c>
      <c r="Y36" s="12">
        <f t="shared" si="17"/>
        <v>7.1999999999999993</v>
      </c>
      <c r="Z36" s="12">
        <f t="shared" si="17"/>
        <v>7.1999999999999993</v>
      </c>
      <c r="AA36" s="12">
        <f t="shared" si="17"/>
        <v>7.1999999999999993</v>
      </c>
      <c r="AB36" s="12">
        <f t="shared" si="17"/>
        <v>7.1999999999999993</v>
      </c>
      <c r="AC36" s="12">
        <f t="shared" si="17"/>
        <v>7.1999999999999993</v>
      </c>
      <c r="AD36" s="12">
        <f t="shared" si="17"/>
        <v>7.1999999999999993</v>
      </c>
      <c r="AE36" s="12">
        <f t="shared" si="17"/>
        <v>7.1999999999999993</v>
      </c>
      <c r="AF36" s="12">
        <f t="shared" si="17"/>
        <v>7.1999999999999993</v>
      </c>
      <c r="AG36" s="9"/>
    </row>
    <row r="37" spans="1:33" x14ac:dyDescent="0.25">
      <c r="A37" s="9" t="s">
        <v>121</v>
      </c>
      <c r="B37" s="12">
        <f>B36</f>
        <v>930.2</v>
      </c>
      <c r="C37" s="12">
        <f>B37+C36</f>
        <v>937.40000000000009</v>
      </c>
      <c r="D37" s="12">
        <f t="shared" ref="D37:AF37" si="18">C37+D36</f>
        <v>944.60000000000014</v>
      </c>
      <c r="E37" s="12">
        <f t="shared" si="18"/>
        <v>951.80000000000018</v>
      </c>
      <c r="F37" s="12">
        <f t="shared" si="18"/>
        <v>959.00000000000023</v>
      </c>
      <c r="G37" s="12">
        <f t="shared" si="18"/>
        <v>966.20000000000027</v>
      </c>
      <c r="H37" s="12">
        <f t="shared" si="18"/>
        <v>973.40000000000032</v>
      </c>
      <c r="I37" s="12">
        <f t="shared" si="18"/>
        <v>980.60000000000036</v>
      </c>
      <c r="J37" s="12">
        <f t="shared" si="18"/>
        <v>987.80000000000041</v>
      </c>
      <c r="K37" s="12">
        <f t="shared" si="18"/>
        <v>995.00000000000045</v>
      </c>
      <c r="L37" s="12">
        <f t="shared" si="18"/>
        <v>1002.2000000000005</v>
      </c>
      <c r="M37" s="12">
        <f t="shared" si="18"/>
        <v>1009.4000000000005</v>
      </c>
      <c r="N37" s="12">
        <f t="shared" si="18"/>
        <v>1016.6000000000006</v>
      </c>
      <c r="O37" s="12">
        <f t="shared" si="18"/>
        <v>1023.8000000000006</v>
      </c>
      <c r="P37" s="12">
        <f t="shared" si="18"/>
        <v>1031.0000000000007</v>
      </c>
      <c r="Q37" s="12">
        <f t="shared" si="18"/>
        <v>1038.2000000000007</v>
      </c>
      <c r="R37" s="12">
        <f t="shared" si="18"/>
        <v>1045.4000000000008</v>
      </c>
      <c r="S37" s="12">
        <f t="shared" si="18"/>
        <v>1052.6000000000008</v>
      </c>
      <c r="T37" s="12">
        <f t="shared" si="18"/>
        <v>1059.8000000000009</v>
      </c>
      <c r="U37" s="12">
        <f t="shared" si="18"/>
        <v>1067.0000000000009</v>
      </c>
      <c r="V37" s="12">
        <f t="shared" si="18"/>
        <v>1074.200000000001</v>
      </c>
      <c r="W37" s="12">
        <f t="shared" si="18"/>
        <v>1081.400000000001</v>
      </c>
      <c r="X37" s="12">
        <f t="shared" si="18"/>
        <v>1088.600000000001</v>
      </c>
      <c r="Y37" s="12">
        <f t="shared" si="18"/>
        <v>1095.8000000000011</v>
      </c>
      <c r="Z37" s="12">
        <f t="shared" si="18"/>
        <v>1103.0000000000011</v>
      </c>
      <c r="AA37" s="12">
        <f t="shared" si="18"/>
        <v>1110.2000000000012</v>
      </c>
      <c r="AB37" s="12">
        <f t="shared" si="18"/>
        <v>1117.4000000000012</v>
      </c>
      <c r="AC37" s="12">
        <f t="shared" si="18"/>
        <v>1124.6000000000013</v>
      </c>
      <c r="AD37" s="12">
        <f t="shared" si="18"/>
        <v>1131.8000000000013</v>
      </c>
      <c r="AE37" s="12">
        <f t="shared" si="18"/>
        <v>1139.0000000000014</v>
      </c>
      <c r="AF37" s="12">
        <f t="shared" si="18"/>
        <v>1146.2000000000014</v>
      </c>
      <c r="AG37" s="9"/>
    </row>
    <row r="38" spans="1:33" x14ac:dyDescent="0.25">
      <c r="A38" s="9" t="s">
        <v>122</v>
      </c>
      <c r="B38" s="12">
        <f>SUM(AG27:AG32)</f>
        <v>1604.1999999999998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>
        <f>SUM(AG27:AG32)</f>
        <v>1604.1999999999998</v>
      </c>
    </row>
    <row r="39" spans="1:33" x14ac:dyDescent="0.25">
      <c r="A39" s="9" t="s">
        <v>90</v>
      </c>
      <c r="B39" s="12">
        <f>B36</f>
        <v>930.2</v>
      </c>
      <c r="C39" s="12">
        <f>SUM(C37/C2)</f>
        <v>937.40000000000009</v>
      </c>
      <c r="D39" s="12">
        <f t="shared" ref="D39:AF39" si="19">SUM(D37/D2)</f>
        <v>472.30000000000007</v>
      </c>
      <c r="E39" s="12">
        <f t="shared" si="19"/>
        <v>317.26666666666671</v>
      </c>
      <c r="F39" s="12">
        <f t="shared" si="19"/>
        <v>239.75000000000006</v>
      </c>
      <c r="G39" s="12">
        <f t="shared" si="19"/>
        <v>193.24000000000007</v>
      </c>
      <c r="H39" s="12">
        <f t="shared" si="19"/>
        <v>162.23333333333338</v>
      </c>
      <c r="I39" s="12">
        <f t="shared" si="19"/>
        <v>140.08571428571435</v>
      </c>
      <c r="J39" s="12">
        <f t="shared" si="19"/>
        <v>123.47500000000005</v>
      </c>
      <c r="K39" s="12">
        <f t="shared" si="19"/>
        <v>110.5555555555556</v>
      </c>
      <c r="L39" s="12">
        <f t="shared" si="19"/>
        <v>100.22000000000006</v>
      </c>
      <c r="M39" s="12">
        <f t="shared" si="19"/>
        <v>91.763636363636408</v>
      </c>
      <c r="N39" s="12">
        <f t="shared" si="19"/>
        <v>84.716666666666711</v>
      </c>
      <c r="O39" s="12">
        <f t="shared" si="19"/>
        <v>78.753846153846197</v>
      </c>
      <c r="P39" s="12">
        <f t="shared" si="19"/>
        <v>73.642857142857196</v>
      </c>
      <c r="Q39" s="12">
        <f t="shared" si="19"/>
        <v>69.213333333333381</v>
      </c>
      <c r="R39" s="12">
        <f t="shared" si="19"/>
        <v>65.337500000000048</v>
      </c>
      <c r="S39" s="12">
        <f t="shared" si="19"/>
        <v>61.917647058823576</v>
      </c>
      <c r="T39" s="12">
        <f t="shared" si="19"/>
        <v>58.877777777777823</v>
      </c>
      <c r="U39" s="12">
        <f t="shared" si="19"/>
        <v>56.157894736842152</v>
      </c>
      <c r="V39" s="12">
        <f t="shared" si="19"/>
        <v>53.710000000000051</v>
      </c>
      <c r="W39" s="12">
        <f t="shared" si="19"/>
        <v>51.495238095238143</v>
      </c>
      <c r="X39" s="12">
        <f t="shared" si="19"/>
        <v>49.481818181818227</v>
      </c>
      <c r="Y39" s="12">
        <f t="shared" si="19"/>
        <v>47.643478260869614</v>
      </c>
      <c r="Z39" s="12">
        <f t="shared" si="19"/>
        <v>45.958333333333378</v>
      </c>
      <c r="AA39" s="12">
        <f t="shared" si="19"/>
        <v>44.408000000000044</v>
      </c>
      <c r="AB39" s="12">
        <f t="shared" si="19"/>
        <v>42.976923076923121</v>
      </c>
      <c r="AC39" s="12">
        <f t="shared" si="19"/>
        <v>41.651851851851902</v>
      </c>
      <c r="AD39" s="12">
        <f t="shared" si="19"/>
        <v>40.421428571428621</v>
      </c>
      <c r="AE39" s="12">
        <f t="shared" si="19"/>
        <v>39.275862068965566</v>
      </c>
      <c r="AF39" s="12">
        <f t="shared" si="19"/>
        <v>38.206666666666713</v>
      </c>
      <c r="AG39" s="12"/>
    </row>
    <row r="40" spans="1:33" s="69" customFormat="1" x14ac:dyDescent="0.25">
      <c r="A40" s="77" t="s">
        <v>108</v>
      </c>
      <c r="B40" s="77">
        <f>(B37/B35)</f>
        <v>3.4253940197378112E-3</v>
      </c>
      <c r="C40" s="77">
        <f t="shared" ref="C40:AF40" si="20">(C37/C35)</f>
        <v>3.451907497422301E-3</v>
      </c>
      <c r="D40" s="77">
        <f t="shared" si="20"/>
        <v>1.7392104875533954E-3</v>
      </c>
      <c r="E40" s="77">
        <f t="shared" si="20"/>
        <v>1.1683114842637602E-3</v>
      </c>
      <c r="F40" s="77">
        <f t="shared" si="20"/>
        <v>8.8286198261894257E-4</v>
      </c>
      <c r="G40" s="77">
        <f t="shared" si="20"/>
        <v>7.1159228163205203E-4</v>
      </c>
      <c r="H40" s="77">
        <f t="shared" si="20"/>
        <v>5.9741248097412497E-4</v>
      </c>
      <c r="I40" s="77">
        <f t="shared" si="20"/>
        <v>5.158554805041771E-4</v>
      </c>
      <c r="J40" s="77">
        <f t="shared" si="20"/>
        <v>4.5468773015171622E-4</v>
      </c>
      <c r="K40" s="77">
        <f t="shared" si="20"/>
        <v>4.0711281321091327E-4</v>
      </c>
      <c r="L40" s="77">
        <f t="shared" si="20"/>
        <v>3.690528796582709E-4</v>
      </c>
      <c r="M40" s="77">
        <f t="shared" si="20"/>
        <v>3.379129340242908E-4</v>
      </c>
      <c r="N40" s="77">
        <f t="shared" si="20"/>
        <v>3.1196297932930742E-4</v>
      </c>
      <c r="O40" s="77">
        <f t="shared" si="20"/>
        <v>2.9000532535662914E-4</v>
      </c>
      <c r="P40" s="77">
        <f t="shared" si="20"/>
        <v>2.7118447909433343E-4</v>
      </c>
      <c r="Q40" s="77">
        <f t="shared" si="20"/>
        <v>2.5487307900034389E-4</v>
      </c>
      <c r="R40" s="77">
        <f t="shared" si="20"/>
        <v>2.4060060391810299E-4</v>
      </c>
      <c r="S40" s="77">
        <f t="shared" si="20"/>
        <v>2.2800724355141985E-4</v>
      </c>
      <c r="T40" s="77">
        <f t="shared" si="20"/>
        <v>2.1681314544770152E-4</v>
      </c>
      <c r="U40" s="77">
        <f t="shared" si="20"/>
        <v>2.0679737346016407E-4</v>
      </c>
      <c r="V40" s="77">
        <f t="shared" si="20"/>
        <v>1.9778317867138036E-4</v>
      </c>
      <c r="W40" s="77">
        <f t="shared" si="20"/>
        <v>1.8962747862438556E-4</v>
      </c>
      <c r="X40" s="77">
        <f t="shared" si="20"/>
        <v>1.8221320585439031E-4</v>
      </c>
      <c r="Y40" s="77">
        <f t="shared" si="20"/>
        <v>1.7544365245569896E-4</v>
      </c>
      <c r="Z40" s="77">
        <f t="shared" si="20"/>
        <v>1.6923822850689859E-4</v>
      </c>
      <c r="AA40" s="77">
        <f t="shared" si="20"/>
        <v>1.6352923847400225E-4</v>
      </c>
      <c r="AB40" s="77">
        <f t="shared" si="20"/>
        <v>1.5825940152055945E-4</v>
      </c>
      <c r="AC40" s="77">
        <f t="shared" si="20"/>
        <v>1.5337992285996427E-4</v>
      </c>
      <c r="AD40" s="77">
        <f t="shared" si="20"/>
        <v>1.4884897838941162E-4</v>
      </c>
      <c r="AE40" s="77">
        <f t="shared" si="20"/>
        <v>1.446305128478626E-4</v>
      </c>
      <c r="AF40" s="77">
        <f t="shared" si="20"/>
        <v>1.4069327834241683E-4</v>
      </c>
      <c r="AG40" s="77"/>
    </row>
    <row r="41" spans="1:33" s="78" customFormat="1" x14ac:dyDescent="0.25"/>
    <row r="42" spans="1:33" s="55" customFormat="1" x14ac:dyDescent="0.25">
      <c r="A42" s="54" t="s">
        <v>26</v>
      </c>
      <c r="Z42" s="56"/>
    </row>
    <row r="43" spans="1:33" s="18" customFormat="1" x14ac:dyDescent="0.25">
      <c r="A43" s="18" t="s">
        <v>8</v>
      </c>
      <c r="B43" s="18">
        <f>(B4)</f>
        <v>200</v>
      </c>
      <c r="C43" s="18">
        <f>(B43)</f>
        <v>200</v>
      </c>
      <c r="D43" s="18">
        <f t="shared" ref="D43:AF43" si="21">(C43)</f>
        <v>200</v>
      </c>
      <c r="E43" s="18">
        <f t="shared" si="21"/>
        <v>200</v>
      </c>
      <c r="F43" s="18">
        <f t="shared" si="21"/>
        <v>200</v>
      </c>
      <c r="G43" s="18">
        <f t="shared" si="21"/>
        <v>200</v>
      </c>
      <c r="H43" s="18">
        <f t="shared" si="21"/>
        <v>200</v>
      </c>
      <c r="I43" s="18">
        <f t="shared" si="21"/>
        <v>200</v>
      </c>
      <c r="J43" s="18">
        <f t="shared" si="21"/>
        <v>200</v>
      </c>
      <c r="K43" s="18">
        <f t="shared" si="21"/>
        <v>200</v>
      </c>
      <c r="L43" s="18">
        <f t="shared" si="21"/>
        <v>200</v>
      </c>
      <c r="M43" s="18">
        <f t="shared" si="21"/>
        <v>200</v>
      </c>
      <c r="N43" s="18">
        <f t="shared" si="21"/>
        <v>200</v>
      </c>
      <c r="O43" s="18">
        <f t="shared" si="21"/>
        <v>200</v>
      </c>
      <c r="P43" s="18">
        <f t="shared" si="21"/>
        <v>200</v>
      </c>
      <c r="Q43" s="18">
        <f t="shared" si="21"/>
        <v>200</v>
      </c>
      <c r="R43" s="18">
        <f t="shared" si="21"/>
        <v>200</v>
      </c>
      <c r="S43" s="18">
        <f t="shared" si="21"/>
        <v>200</v>
      </c>
      <c r="T43" s="18">
        <f t="shared" si="21"/>
        <v>200</v>
      </c>
      <c r="U43" s="18">
        <f t="shared" si="21"/>
        <v>200</v>
      </c>
      <c r="V43" s="18">
        <f t="shared" si="21"/>
        <v>200</v>
      </c>
      <c r="W43" s="18">
        <f t="shared" si="21"/>
        <v>200</v>
      </c>
      <c r="X43" s="18">
        <f t="shared" si="21"/>
        <v>200</v>
      </c>
      <c r="Y43" s="18">
        <f t="shared" si="21"/>
        <v>200</v>
      </c>
      <c r="Z43" s="18">
        <f t="shared" si="21"/>
        <v>200</v>
      </c>
      <c r="AA43" s="18">
        <f t="shared" si="21"/>
        <v>200</v>
      </c>
      <c r="AB43" s="18">
        <f t="shared" si="21"/>
        <v>200</v>
      </c>
      <c r="AC43" s="18">
        <f t="shared" si="21"/>
        <v>200</v>
      </c>
      <c r="AD43" s="18">
        <f t="shared" si="21"/>
        <v>200</v>
      </c>
      <c r="AE43" s="18">
        <f t="shared" si="21"/>
        <v>200</v>
      </c>
      <c r="AF43" s="18">
        <f t="shared" si="21"/>
        <v>200</v>
      </c>
    </row>
    <row r="44" spans="1:33" s="18" customFormat="1" x14ac:dyDescent="0.25">
      <c r="A44" s="18" t="s">
        <v>9</v>
      </c>
      <c r="B44" s="18">
        <f>ROUNDUP((B43/100),0)</f>
        <v>2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2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</row>
    <row r="45" spans="1:33" s="18" customFormat="1" x14ac:dyDescent="0.25">
      <c r="A45" s="18" t="s">
        <v>49</v>
      </c>
      <c r="B45" s="18">
        <f>(B43)</f>
        <v>200</v>
      </c>
      <c r="C45" s="18">
        <f t="shared" ref="C45:AF45" si="22">(C43)</f>
        <v>200</v>
      </c>
      <c r="D45" s="18">
        <f t="shared" si="22"/>
        <v>200</v>
      </c>
      <c r="E45" s="18">
        <f t="shared" si="22"/>
        <v>200</v>
      </c>
      <c r="F45" s="18">
        <f t="shared" si="22"/>
        <v>200</v>
      </c>
      <c r="G45" s="18">
        <f t="shared" si="22"/>
        <v>200</v>
      </c>
      <c r="H45" s="18">
        <f t="shared" si="22"/>
        <v>200</v>
      </c>
      <c r="I45" s="18">
        <f t="shared" si="22"/>
        <v>200</v>
      </c>
      <c r="J45" s="18">
        <f t="shared" si="22"/>
        <v>200</v>
      </c>
      <c r="K45" s="18">
        <f t="shared" si="22"/>
        <v>200</v>
      </c>
      <c r="L45" s="18">
        <f t="shared" si="22"/>
        <v>200</v>
      </c>
      <c r="M45" s="18">
        <f t="shared" si="22"/>
        <v>200</v>
      </c>
      <c r="N45" s="18">
        <f t="shared" si="22"/>
        <v>200</v>
      </c>
      <c r="O45" s="18">
        <f t="shared" si="22"/>
        <v>200</v>
      </c>
      <c r="P45" s="18">
        <f t="shared" si="22"/>
        <v>200</v>
      </c>
      <c r="Q45" s="18">
        <f t="shared" si="22"/>
        <v>200</v>
      </c>
      <c r="R45" s="18">
        <f t="shared" si="22"/>
        <v>200</v>
      </c>
      <c r="S45" s="18">
        <f t="shared" si="22"/>
        <v>200</v>
      </c>
      <c r="T45" s="18">
        <f t="shared" si="22"/>
        <v>200</v>
      </c>
      <c r="U45" s="18">
        <f t="shared" si="22"/>
        <v>200</v>
      </c>
      <c r="V45" s="18">
        <f t="shared" si="22"/>
        <v>200</v>
      </c>
      <c r="W45" s="18">
        <f t="shared" si="22"/>
        <v>200</v>
      </c>
      <c r="X45" s="18">
        <f t="shared" si="22"/>
        <v>200</v>
      </c>
      <c r="Y45" s="18">
        <f t="shared" si="22"/>
        <v>200</v>
      </c>
      <c r="Z45" s="18">
        <f t="shared" si="22"/>
        <v>200</v>
      </c>
      <c r="AA45" s="18">
        <f t="shared" si="22"/>
        <v>200</v>
      </c>
      <c r="AB45" s="18">
        <f t="shared" si="22"/>
        <v>200</v>
      </c>
      <c r="AC45" s="18">
        <f t="shared" si="22"/>
        <v>200</v>
      </c>
      <c r="AD45" s="18">
        <f t="shared" si="22"/>
        <v>200</v>
      </c>
      <c r="AE45" s="18">
        <f t="shared" si="22"/>
        <v>200</v>
      </c>
      <c r="AF45" s="18">
        <f t="shared" si="22"/>
        <v>200</v>
      </c>
      <c r="AG45" s="20"/>
    </row>
    <row r="46" spans="1:33" s="18" customFormat="1" x14ac:dyDescent="0.25">
      <c r="A46" s="18" t="s">
        <v>123</v>
      </c>
      <c r="B46" s="21">
        <f>(B44*1054)</f>
        <v>2108</v>
      </c>
      <c r="C46" s="21">
        <f t="shared" ref="C46:AF46" si="23">(C44*1054)</f>
        <v>0</v>
      </c>
      <c r="D46" s="21">
        <f t="shared" si="23"/>
        <v>0</v>
      </c>
      <c r="E46" s="21">
        <f t="shared" si="23"/>
        <v>0</v>
      </c>
      <c r="F46" s="21">
        <f t="shared" si="23"/>
        <v>0</v>
      </c>
      <c r="G46" s="21">
        <f t="shared" si="23"/>
        <v>0</v>
      </c>
      <c r="H46" s="21">
        <f t="shared" si="23"/>
        <v>0</v>
      </c>
      <c r="I46" s="21">
        <f t="shared" si="23"/>
        <v>0</v>
      </c>
      <c r="J46" s="21">
        <f t="shared" si="23"/>
        <v>0</v>
      </c>
      <c r="K46" s="21">
        <f t="shared" si="23"/>
        <v>0</v>
      </c>
      <c r="L46" s="21">
        <f t="shared" si="23"/>
        <v>0</v>
      </c>
      <c r="M46" s="21">
        <f t="shared" si="23"/>
        <v>0</v>
      </c>
      <c r="N46" s="21">
        <f t="shared" si="23"/>
        <v>0</v>
      </c>
      <c r="O46" s="21">
        <f t="shared" si="23"/>
        <v>0</v>
      </c>
      <c r="P46" s="21">
        <f t="shared" si="23"/>
        <v>0</v>
      </c>
      <c r="Q46" s="21">
        <f t="shared" si="23"/>
        <v>0</v>
      </c>
      <c r="R46" s="21">
        <f t="shared" si="23"/>
        <v>2108</v>
      </c>
      <c r="S46" s="21">
        <f t="shared" si="23"/>
        <v>0</v>
      </c>
      <c r="T46" s="21">
        <f t="shared" si="23"/>
        <v>0</v>
      </c>
      <c r="U46" s="21">
        <f t="shared" si="23"/>
        <v>0</v>
      </c>
      <c r="V46" s="21">
        <f t="shared" si="23"/>
        <v>0</v>
      </c>
      <c r="W46" s="21">
        <f t="shared" si="23"/>
        <v>0</v>
      </c>
      <c r="X46" s="21">
        <f t="shared" si="23"/>
        <v>0</v>
      </c>
      <c r="Y46" s="21">
        <f t="shared" si="23"/>
        <v>0</v>
      </c>
      <c r="Z46" s="21">
        <f t="shared" si="23"/>
        <v>0</v>
      </c>
      <c r="AA46" s="21">
        <f t="shared" si="23"/>
        <v>0</v>
      </c>
      <c r="AB46" s="21">
        <f t="shared" si="23"/>
        <v>0</v>
      </c>
      <c r="AC46" s="21">
        <f t="shared" si="23"/>
        <v>0</v>
      </c>
      <c r="AD46" s="21">
        <f t="shared" si="23"/>
        <v>0</v>
      </c>
      <c r="AE46" s="21">
        <f t="shared" si="23"/>
        <v>0</v>
      </c>
      <c r="AF46" s="21">
        <f t="shared" si="23"/>
        <v>0</v>
      </c>
      <c r="AG46" s="21">
        <f>SUM(B46:AF46)</f>
        <v>4216</v>
      </c>
    </row>
    <row r="47" spans="1:33" s="18" customFormat="1" x14ac:dyDescent="0.25">
      <c r="A47" s="18" t="s">
        <v>14</v>
      </c>
      <c r="B47" s="18">
        <f>B44*2</f>
        <v>4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</row>
    <row r="48" spans="1:33" s="18" customFormat="1" x14ac:dyDescent="0.25">
      <c r="A48" s="18" t="s">
        <v>77</v>
      </c>
      <c r="B48" s="21">
        <f>B47*2.75</f>
        <v>11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21">
        <f>SUM(B48:Q48)</f>
        <v>11</v>
      </c>
    </row>
    <row r="49" spans="1:33" s="16" customFormat="1" x14ac:dyDescent="0.25">
      <c r="A49" s="18" t="s">
        <v>133</v>
      </c>
      <c r="B49" s="21">
        <f>(2*12)</f>
        <v>24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21">
        <f>SUM(B49:AF49)</f>
        <v>24</v>
      </c>
    </row>
    <row r="50" spans="1:33" s="18" customFormat="1" x14ac:dyDescent="0.25">
      <c r="A50" s="18" t="s">
        <v>10</v>
      </c>
      <c r="B50" s="21">
        <v>0</v>
      </c>
      <c r="C50" s="21">
        <f>(B50)</f>
        <v>0</v>
      </c>
      <c r="D50" s="21">
        <f t="shared" ref="D50:AF51" si="24">(C50)</f>
        <v>0</v>
      </c>
      <c r="E50" s="21">
        <f t="shared" si="24"/>
        <v>0</v>
      </c>
      <c r="F50" s="21">
        <f t="shared" si="24"/>
        <v>0</v>
      </c>
      <c r="G50" s="21">
        <f t="shared" si="24"/>
        <v>0</v>
      </c>
      <c r="H50" s="21">
        <f t="shared" si="24"/>
        <v>0</v>
      </c>
      <c r="I50" s="21">
        <f t="shared" si="24"/>
        <v>0</v>
      </c>
      <c r="J50" s="21">
        <f t="shared" si="24"/>
        <v>0</v>
      </c>
      <c r="K50" s="21">
        <f t="shared" si="24"/>
        <v>0</v>
      </c>
      <c r="L50" s="21">
        <f t="shared" si="24"/>
        <v>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21">
        <f t="shared" si="24"/>
        <v>0</v>
      </c>
      <c r="Q50" s="21">
        <f t="shared" si="24"/>
        <v>0</v>
      </c>
      <c r="R50" s="21">
        <f t="shared" si="24"/>
        <v>0</v>
      </c>
      <c r="S50" s="21">
        <f t="shared" si="24"/>
        <v>0</v>
      </c>
      <c r="T50" s="21">
        <f t="shared" si="24"/>
        <v>0</v>
      </c>
      <c r="U50" s="21">
        <f t="shared" si="24"/>
        <v>0</v>
      </c>
      <c r="V50" s="21">
        <f t="shared" si="24"/>
        <v>0</v>
      </c>
      <c r="W50" s="21">
        <f t="shared" si="24"/>
        <v>0</v>
      </c>
      <c r="X50" s="21">
        <f t="shared" si="24"/>
        <v>0</v>
      </c>
      <c r="Y50" s="21">
        <f t="shared" si="24"/>
        <v>0</v>
      </c>
      <c r="Z50" s="21">
        <f t="shared" si="24"/>
        <v>0</v>
      </c>
      <c r="AA50" s="21">
        <f t="shared" si="24"/>
        <v>0</v>
      </c>
      <c r="AB50" s="21">
        <f t="shared" si="24"/>
        <v>0</v>
      </c>
      <c r="AC50" s="21">
        <f t="shared" si="24"/>
        <v>0</v>
      </c>
      <c r="AD50" s="21">
        <f t="shared" si="24"/>
        <v>0</v>
      </c>
      <c r="AE50" s="21">
        <f t="shared" si="24"/>
        <v>0</v>
      </c>
      <c r="AF50" s="21">
        <f t="shared" si="24"/>
        <v>0</v>
      </c>
      <c r="AG50" s="21">
        <f>SUM(B50:AF50)</f>
        <v>0</v>
      </c>
    </row>
    <row r="51" spans="1:33" s="18" customFormat="1" x14ac:dyDescent="0.25">
      <c r="A51" s="18" t="s">
        <v>11</v>
      </c>
      <c r="B51" s="21">
        <v>0</v>
      </c>
      <c r="C51" s="21">
        <f>(B51)</f>
        <v>0</v>
      </c>
      <c r="D51" s="21">
        <f t="shared" si="24"/>
        <v>0</v>
      </c>
      <c r="E51" s="21">
        <f t="shared" si="24"/>
        <v>0</v>
      </c>
      <c r="F51" s="21">
        <f t="shared" si="24"/>
        <v>0</v>
      </c>
      <c r="G51" s="21">
        <f t="shared" si="24"/>
        <v>0</v>
      </c>
      <c r="H51" s="21">
        <f t="shared" si="24"/>
        <v>0</v>
      </c>
      <c r="I51" s="21">
        <f t="shared" si="24"/>
        <v>0</v>
      </c>
      <c r="J51" s="21">
        <f t="shared" si="24"/>
        <v>0</v>
      </c>
      <c r="K51" s="21">
        <f t="shared" si="24"/>
        <v>0</v>
      </c>
      <c r="L51" s="21">
        <f t="shared" si="24"/>
        <v>0</v>
      </c>
      <c r="M51" s="21">
        <f t="shared" si="24"/>
        <v>0</v>
      </c>
      <c r="N51" s="21">
        <f t="shared" si="24"/>
        <v>0</v>
      </c>
      <c r="O51" s="21">
        <f t="shared" si="24"/>
        <v>0</v>
      </c>
      <c r="P51" s="21">
        <f t="shared" si="24"/>
        <v>0</v>
      </c>
      <c r="Q51" s="21">
        <f t="shared" si="24"/>
        <v>0</v>
      </c>
      <c r="R51" s="21">
        <f t="shared" si="24"/>
        <v>0</v>
      </c>
      <c r="S51" s="21">
        <f t="shared" si="24"/>
        <v>0</v>
      </c>
      <c r="T51" s="21">
        <f t="shared" si="24"/>
        <v>0</v>
      </c>
      <c r="U51" s="21">
        <f t="shared" si="24"/>
        <v>0</v>
      </c>
      <c r="V51" s="21">
        <f t="shared" si="24"/>
        <v>0</v>
      </c>
      <c r="W51" s="21">
        <f t="shared" si="24"/>
        <v>0</v>
      </c>
      <c r="X51" s="21">
        <f t="shared" si="24"/>
        <v>0</v>
      </c>
      <c r="Y51" s="21">
        <f t="shared" si="24"/>
        <v>0</v>
      </c>
      <c r="Z51" s="21">
        <f t="shared" si="24"/>
        <v>0</v>
      </c>
      <c r="AA51" s="21">
        <f t="shared" si="24"/>
        <v>0</v>
      </c>
      <c r="AB51" s="21">
        <f t="shared" si="24"/>
        <v>0</v>
      </c>
      <c r="AC51" s="21">
        <f t="shared" si="24"/>
        <v>0</v>
      </c>
      <c r="AD51" s="21">
        <f t="shared" si="24"/>
        <v>0</v>
      </c>
      <c r="AE51" s="21">
        <f t="shared" si="24"/>
        <v>0</v>
      </c>
      <c r="AF51" s="21">
        <f t="shared" si="24"/>
        <v>0</v>
      </c>
      <c r="AG51" s="21">
        <f>SUM(B51:AF51)</f>
        <v>0</v>
      </c>
    </row>
    <row r="52" spans="1:33" s="16" customFormat="1" x14ac:dyDescent="0.25">
      <c r="A52" s="18" t="s">
        <v>119</v>
      </c>
      <c r="B52" s="58">
        <f>(B45*365)</f>
        <v>73000</v>
      </c>
      <c r="C52" s="58">
        <f>($B$52*C2)</f>
        <v>73000</v>
      </c>
      <c r="D52" s="58">
        <f t="shared" ref="D52:AF52" si="25">($B$52*D2)</f>
        <v>146000</v>
      </c>
      <c r="E52" s="58">
        <f t="shared" si="25"/>
        <v>219000</v>
      </c>
      <c r="F52" s="58">
        <f t="shared" si="25"/>
        <v>292000</v>
      </c>
      <c r="G52" s="58">
        <f t="shared" si="25"/>
        <v>365000</v>
      </c>
      <c r="H52" s="58">
        <f t="shared" si="25"/>
        <v>438000</v>
      </c>
      <c r="I52" s="58">
        <f t="shared" si="25"/>
        <v>511000</v>
      </c>
      <c r="J52" s="58">
        <f t="shared" si="25"/>
        <v>584000</v>
      </c>
      <c r="K52" s="58">
        <f t="shared" si="25"/>
        <v>657000</v>
      </c>
      <c r="L52" s="58">
        <f t="shared" si="25"/>
        <v>730000</v>
      </c>
      <c r="M52" s="58">
        <f t="shared" si="25"/>
        <v>803000</v>
      </c>
      <c r="N52" s="58">
        <f t="shared" si="25"/>
        <v>876000</v>
      </c>
      <c r="O52" s="58">
        <f t="shared" si="25"/>
        <v>949000</v>
      </c>
      <c r="P52" s="58">
        <f t="shared" si="25"/>
        <v>1022000</v>
      </c>
      <c r="Q52" s="58">
        <f t="shared" si="25"/>
        <v>1095000</v>
      </c>
      <c r="R52" s="58">
        <f t="shared" si="25"/>
        <v>1168000</v>
      </c>
      <c r="S52" s="58">
        <f t="shared" si="25"/>
        <v>1241000</v>
      </c>
      <c r="T52" s="58">
        <f t="shared" si="25"/>
        <v>1314000</v>
      </c>
      <c r="U52" s="58">
        <f t="shared" si="25"/>
        <v>1387000</v>
      </c>
      <c r="V52" s="58">
        <f t="shared" si="25"/>
        <v>1460000</v>
      </c>
      <c r="W52" s="58">
        <f t="shared" si="25"/>
        <v>1533000</v>
      </c>
      <c r="X52" s="58">
        <f t="shared" si="25"/>
        <v>1606000</v>
      </c>
      <c r="Y52" s="58">
        <f t="shared" si="25"/>
        <v>1679000</v>
      </c>
      <c r="Z52" s="58">
        <f t="shared" si="25"/>
        <v>1752000</v>
      </c>
      <c r="AA52" s="58">
        <f t="shared" si="25"/>
        <v>1825000</v>
      </c>
      <c r="AB52" s="58">
        <f t="shared" si="25"/>
        <v>1898000</v>
      </c>
      <c r="AC52" s="58">
        <f t="shared" si="25"/>
        <v>1971000</v>
      </c>
      <c r="AD52" s="58">
        <f t="shared" si="25"/>
        <v>2044000</v>
      </c>
      <c r="AE52" s="58">
        <f t="shared" si="25"/>
        <v>2117000</v>
      </c>
      <c r="AF52" s="58">
        <f t="shared" si="25"/>
        <v>2190000</v>
      </c>
      <c r="AG52" s="18"/>
    </row>
    <row r="53" spans="1:33" s="18" customFormat="1" x14ac:dyDescent="0.25">
      <c r="A53" s="18" t="s">
        <v>124</v>
      </c>
      <c r="B53" s="21">
        <f>SUM(B46+B48+B50+B51)</f>
        <v>2119</v>
      </c>
      <c r="C53" s="21">
        <f t="shared" ref="C53:AF53" si="26">SUM(C46+C48+C50+C51)</f>
        <v>0</v>
      </c>
      <c r="D53" s="21">
        <f t="shared" si="26"/>
        <v>0</v>
      </c>
      <c r="E53" s="21">
        <f t="shared" si="26"/>
        <v>0</v>
      </c>
      <c r="F53" s="21">
        <f t="shared" si="26"/>
        <v>0</v>
      </c>
      <c r="G53" s="21">
        <f t="shared" si="26"/>
        <v>0</v>
      </c>
      <c r="H53" s="21">
        <f t="shared" si="26"/>
        <v>0</v>
      </c>
      <c r="I53" s="21">
        <f t="shared" si="26"/>
        <v>0</v>
      </c>
      <c r="J53" s="21">
        <f t="shared" si="26"/>
        <v>0</v>
      </c>
      <c r="K53" s="21">
        <f t="shared" si="26"/>
        <v>0</v>
      </c>
      <c r="L53" s="21">
        <f t="shared" si="26"/>
        <v>0</v>
      </c>
      <c r="M53" s="21">
        <f t="shared" si="26"/>
        <v>0</v>
      </c>
      <c r="N53" s="21">
        <f t="shared" si="26"/>
        <v>0</v>
      </c>
      <c r="O53" s="21">
        <f t="shared" si="26"/>
        <v>0</v>
      </c>
      <c r="P53" s="21">
        <f t="shared" si="26"/>
        <v>0</v>
      </c>
      <c r="Q53" s="21">
        <f t="shared" si="26"/>
        <v>0</v>
      </c>
      <c r="R53" s="21">
        <f t="shared" si="26"/>
        <v>2108</v>
      </c>
      <c r="S53" s="21">
        <f t="shared" si="26"/>
        <v>0</v>
      </c>
      <c r="T53" s="21">
        <f t="shared" si="26"/>
        <v>0</v>
      </c>
      <c r="U53" s="21">
        <f t="shared" si="26"/>
        <v>0</v>
      </c>
      <c r="V53" s="21">
        <f t="shared" si="26"/>
        <v>0</v>
      </c>
      <c r="W53" s="21">
        <f t="shared" si="26"/>
        <v>0</v>
      </c>
      <c r="X53" s="21">
        <f t="shared" si="26"/>
        <v>0</v>
      </c>
      <c r="Y53" s="21">
        <f t="shared" si="26"/>
        <v>0</v>
      </c>
      <c r="Z53" s="21">
        <f t="shared" si="26"/>
        <v>0</v>
      </c>
      <c r="AA53" s="21">
        <f t="shared" si="26"/>
        <v>0</v>
      </c>
      <c r="AB53" s="21">
        <f t="shared" si="26"/>
        <v>0</v>
      </c>
      <c r="AC53" s="21">
        <f t="shared" si="26"/>
        <v>0</v>
      </c>
      <c r="AD53" s="21">
        <f t="shared" si="26"/>
        <v>0</v>
      </c>
      <c r="AE53" s="21">
        <f t="shared" si="26"/>
        <v>0</v>
      </c>
      <c r="AF53" s="21">
        <f t="shared" si="26"/>
        <v>0</v>
      </c>
    </row>
    <row r="54" spans="1:33" s="18" customFormat="1" x14ac:dyDescent="0.25">
      <c r="A54" s="18" t="s">
        <v>125</v>
      </c>
      <c r="B54" s="21">
        <f>B53</f>
        <v>2119</v>
      </c>
      <c r="C54" s="21">
        <f>B54+C53</f>
        <v>2119</v>
      </c>
      <c r="D54" s="21">
        <f t="shared" ref="D54:AF54" si="27">C54+D53</f>
        <v>2119</v>
      </c>
      <c r="E54" s="21">
        <f t="shared" si="27"/>
        <v>2119</v>
      </c>
      <c r="F54" s="21">
        <f t="shared" si="27"/>
        <v>2119</v>
      </c>
      <c r="G54" s="21">
        <f t="shared" si="27"/>
        <v>2119</v>
      </c>
      <c r="H54" s="21">
        <f t="shared" si="27"/>
        <v>2119</v>
      </c>
      <c r="I54" s="21">
        <f t="shared" si="27"/>
        <v>2119</v>
      </c>
      <c r="J54" s="21">
        <f t="shared" si="27"/>
        <v>2119</v>
      </c>
      <c r="K54" s="21">
        <f t="shared" si="27"/>
        <v>2119</v>
      </c>
      <c r="L54" s="21">
        <f t="shared" si="27"/>
        <v>2119</v>
      </c>
      <c r="M54" s="21">
        <f t="shared" si="27"/>
        <v>2119</v>
      </c>
      <c r="N54" s="21">
        <f t="shared" si="27"/>
        <v>2119</v>
      </c>
      <c r="O54" s="21">
        <f t="shared" si="27"/>
        <v>2119</v>
      </c>
      <c r="P54" s="21">
        <f t="shared" si="27"/>
        <v>2119</v>
      </c>
      <c r="Q54" s="21">
        <f t="shared" si="27"/>
        <v>2119</v>
      </c>
      <c r="R54" s="21">
        <f t="shared" si="27"/>
        <v>4227</v>
      </c>
      <c r="S54" s="21">
        <f t="shared" si="27"/>
        <v>4227</v>
      </c>
      <c r="T54" s="21">
        <f t="shared" si="27"/>
        <v>4227</v>
      </c>
      <c r="U54" s="21">
        <f t="shared" si="27"/>
        <v>4227</v>
      </c>
      <c r="V54" s="21">
        <f t="shared" si="27"/>
        <v>4227</v>
      </c>
      <c r="W54" s="21">
        <f t="shared" si="27"/>
        <v>4227</v>
      </c>
      <c r="X54" s="21">
        <f t="shared" si="27"/>
        <v>4227</v>
      </c>
      <c r="Y54" s="21">
        <f t="shared" si="27"/>
        <v>4227</v>
      </c>
      <c r="Z54" s="21">
        <f t="shared" si="27"/>
        <v>4227</v>
      </c>
      <c r="AA54" s="21">
        <f t="shared" si="27"/>
        <v>4227</v>
      </c>
      <c r="AB54" s="21">
        <f t="shared" si="27"/>
        <v>4227</v>
      </c>
      <c r="AC54" s="21">
        <f t="shared" si="27"/>
        <v>4227</v>
      </c>
      <c r="AD54" s="21">
        <f t="shared" si="27"/>
        <v>4227</v>
      </c>
      <c r="AE54" s="21">
        <f t="shared" si="27"/>
        <v>4227</v>
      </c>
      <c r="AF54" s="21">
        <f t="shared" si="27"/>
        <v>4227</v>
      </c>
    </row>
    <row r="55" spans="1:33" s="18" customFormat="1" x14ac:dyDescent="0.25">
      <c r="A55" s="18" t="s">
        <v>126</v>
      </c>
      <c r="B55" s="21">
        <f>SUM(AG46:AG51)</f>
        <v>4251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>
        <f>SUM(AG46:AG51)</f>
        <v>4251</v>
      </c>
    </row>
    <row r="56" spans="1:33" s="18" customFormat="1" x14ac:dyDescent="0.25">
      <c r="A56" s="18" t="s">
        <v>127</v>
      </c>
      <c r="B56" s="21">
        <f>B54</f>
        <v>2119</v>
      </c>
      <c r="C56" s="22">
        <f t="shared" ref="C56:AF56" si="28">SUM(C54/C2)</f>
        <v>2119</v>
      </c>
      <c r="D56" s="22">
        <f t="shared" si="28"/>
        <v>1059.5</v>
      </c>
      <c r="E56" s="22">
        <f t="shared" si="28"/>
        <v>706.33333333333337</v>
      </c>
      <c r="F56" s="22">
        <f t="shared" si="28"/>
        <v>529.75</v>
      </c>
      <c r="G56" s="22">
        <f t="shared" si="28"/>
        <v>423.8</v>
      </c>
      <c r="H56" s="22">
        <f t="shared" si="28"/>
        <v>353.16666666666669</v>
      </c>
      <c r="I56" s="22">
        <f t="shared" si="28"/>
        <v>302.71428571428572</v>
      </c>
      <c r="J56" s="22">
        <f t="shared" si="28"/>
        <v>264.875</v>
      </c>
      <c r="K56" s="22">
        <f t="shared" si="28"/>
        <v>235.44444444444446</v>
      </c>
      <c r="L56" s="22">
        <f t="shared" si="28"/>
        <v>211.9</v>
      </c>
      <c r="M56" s="22">
        <f t="shared" si="28"/>
        <v>192.63636363636363</v>
      </c>
      <c r="N56" s="22">
        <f t="shared" si="28"/>
        <v>176.58333333333334</v>
      </c>
      <c r="O56" s="22">
        <f t="shared" si="28"/>
        <v>163</v>
      </c>
      <c r="P56" s="22">
        <f t="shared" si="28"/>
        <v>151.35714285714286</v>
      </c>
      <c r="Q56" s="22">
        <f t="shared" si="28"/>
        <v>141.26666666666668</v>
      </c>
      <c r="R56" s="22">
        <f t="shared" si="28"/>
        <v>264.1875</v>
      </c>
      <c r="S56" s="22">
        <f t="shared" si="28"/>
        <v>248.64705882352942</v>
      </c>
      <c r="T56" s="22">
        <f t="shared" si="28"/>
        <v>234.83333333333334</v>
      </c>
      <c r="U56" s="22">
        <f t="shared" si="28"/>
        <v>222.47368421052633</v>
      </c>
      <c r="V56" s="22">
        <f t="shared" si="28"/>
        <v>211.35</v>
      </c>
      <c r="W56" s="22">
        <f t="shared" si="28"/>
        <v>201.28571428571428</v>
      </c>
      <c r="X56" s="22">
        <f t="shared" si="28"/>
        <v>192.13636363636363</v>
      </c>
      <c r="Y56" s="22">
        <f t="shared" si="28"/>
        <v>183.78260869565219</v>
      </c>
      <c r="Z56" s="22">
        <f t="shared" si="28"/>
        <v>176.125</v>
      </c>
      <c r="AA56" s="22">
        <f t="shared" si="28"/>
        <v>169.08</v>
      </c>
      <c r="AB56" s="22">
        <f t="shared" si="28"/>
        <v>162.57692307692307</v>
      </c>
      <c r="AC56" s="22">
        <f t="shared" si="28"/>
        <v>156.55555555555554</v>
      </c>
      <c r="AD56" s="22">
        <f t="shared" si="28"/>
        <v>150.96428571428572</v>
      </c>
      <c r="AE56" s="22">
        <f t="shared" si="28"/>
        <v>145.75862068965517</v>
      </c>
      <c r="AF56" s="22">
        <f t="shared" si="28"/>
        <v>140.9</v>
      </c>
      <c r="AG56" s="21"/>
    </row>
    <row r="57" spans="1:33" s="67" customFormat="1" x14ac:dyDescent="0.25">
      <c r="A57" s="66" t="s">
        <v>108</v>
      </c>
      <c r="B57" s="66">
        <f>(B54/B52)</f>
        <v>2.9027397260273972E-2</v>
      </c>
      <c r="C57" s="66">
        <f t="shared" ref="C57:AF57" si="29">(C54/C52)</f>
        <v>2.9027397260273972E-2</v>
      </c>
      <c r="D57" s="66">
        <f t="shared" si="29"/>
        <v>1.4513698630136986E-2</v>
      </c>
      <c r="E57" s="66">
        <f t="shared" si="29"/>
        <v>9.6757990867579902E-3</v>
      </c>
      <c r="F57" s="66">
        <f t="shared" si="29"/>
        <v>7.2568493150684931E-3</v>
      </c>
      <c r="G57" s="66">
        <f t="shared" si="29"/>
        <v>5.8054794520547943E-3</v>
      </c>
      <c r="H57" s="66">
        <f t="shared" si="29"/>
        <v>4.8378995433789951E-3</v>
      </c>
      <c r="I57" s="66">
        <f t="shared" si="29"/>
        <v>4.1467710371819958E-3</v>
      </c>
      <c r="J57" s="66">
        <f t="shared" si="29"/>
        <v>3.6284246575342466E-3</v>
      </c>
      <c r="K57" s="66">
        <f t="shared" si="29"/>
        <v>3.2252663622526637E-3</v>
      </c>
      <c r="L57" s="66">
        <f t="shared" si="29"/>
        <v>2.9027397260273972E-3</v>
      </c>
      <c r="M57" s="66">
        <f t="shared" si="29"/>
        <v>2.638854296388543E-3</v>
      </c>
      <c r="N57" s="66">
        <f t="shared" si="29"/>
        <v>2.4189497716894976E-3</v>
      </c>
      <c r="O57" s="66">
        <f t="shared" si="29"/>
        <v>2.2328767123287671E-3</v>
      </c>
      <c r="P57" s="66">
        <f t="shared" si="29"/>
        <v>2.0733855185909979E-3</v>
      </c>
      <c r="Q57" s="66">
        <f t="shared" si="29"/>
        <v>1.9351598173515982E-3</v>
      </c>
      <c r="R57" s="66">
        <f t="shared" si="29"/>
        <v>3.6190068493150685E-3</v>
      </c>
      <c r="S57" s="66">
        <f t="shared" si="29"/>
        <v>3.4061240934730058E-3</v>
      </c>
      <c r="T57" s="66">
        <f t="shared" si="29"/>
        <v>3.2168949771689496E-3</v>
      </c>
      <c r="U57" s="66">
        <f t="shared" si="29"/>
        <v>3.0475847152126893E-3</v>
      </c>
      <c r="V57" s="66">
        <f t="shared" si="29"/>
        <v>2.895205479452055E-3</v>
      </c>
      <c r="W57" s="66">
        <f t="shared" si="29"/>
        <v>2.7573385518590999E-3</v>
      </c>
      <c r="X57" s="66">
        <f t="shared" si="29"/>
        <v>2.6320049813200498E-3</v>
      </c>
      <c r="Y57" s="66">
        <f t="shared" si="29"/>
        <v>2.5175699821322214E-3</v>
      </c>
      <c r="Z57" s="66">
        <f t="shared" si="29"/>
        <v>2.4126712328767122E-3</v>
      </c>
      <c r="AA57" s="66">
        <f t="shared" si="29"/>
        <v>2.3161643835616437E-3</v>
      </c>
      <c r="AB57" s="66">
        <f t="shared" si="29"/>
        <v>2.2270811380400422E-3</v>
      </c>
      <c r="AC57" s="66">
        <f t="shared" si="29"/>
        <v>2.1445966514459665E-3</v>
      </c>
      <c r="AD57" s="66">
        <f t="shared" si="29"/>
        <v>2.0680039138943249E-3</v>
      </c>
      <c r="AE57" s="66">
        <f t="shared" si="29"/>
        <v>1.9966934341048652E-3</v>
      </c>
      <c r="AF57" s="66">
        <f t="shared" si="29"/>
        <v>1.9301369863013698E-3</v>
      </c>
      <c r="AG57" s="66"/>
    </row>
    <row r="58" spans="1:33" s="48" customFormat="1" x14ac:dyDescent="0.2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3"/>
      <c r="AA58" s="52"/>
      <c r="AB58" s="52"/>
      <c r="AC58" s="52"/>
      <c r="AD58" s="52"/>
      <c r="AE58" s="52"/>
      <c r="AF58" s="52"/>
    </row>
    <row r="59" spans="1:33" x14ac:dyDescent="0.25">
      <c r="A59" s="50" t="s">
        <v>67</v>
      </c>
      <c r="B59" s="51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9"/>
      <c r="AA59" s="48"/>
      <c r="AB59" s="48"/>
      <c r="AC59" s="48"/>
      <c r="AD59" s="48"/>
      <c r="AE59" s="48"/>
      <c r="AF59" s="48"/>
      <c r="AG59" s="48"/>
    </row>
    <row r="60" spans="1:33" x14ac:dyDescent="0.25">
      <c r="A60" s="24" t="s">
        <v>135</v>
      </c>
      <c r="B60" s="25">
        <f>(B22/B18)</f>
        <v>7.771428571428574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48"/>
      <c r="AB60" s="48"/>
      <c r="AC60" s="48"/>
      <c r="AD60" s="48"/>
      <c r="AE60" s="48"/>
      <c r="AF60" s="48"/>
      <c r="AG60" s="48"/>
    </row>
    <row r="61" spans="1:33" x14ac:dyDescent="0.25">
      <c r="A61" s="24" t="s">
        <v>140</v>
      </c>
      <c r="B61" s="25">
        <f>(B38/B34)</f>
        <v>2.1561827956989243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9"/>
      <c r="AA61" s="48"/>
      <c r="AB61" s="48"/>
      <c r="AC61" s="48"/>
      <c r="AD61" s="48"/>
      <c r="AE61" s="48"/>
      <c r="AF61" s="48"/>
      <c r="AG61" s="48"/>
    </row>
    <row r="62" spans="1:33" x14ac:dyDescent="0.25">
      <c r="A62" s="24" t="s">
        <v>141</v>
      </c>
      <c r="B62" s="25">
        <f>(B55/B45)</f>
        <v>21.254999999999999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9"/>
      <c r="AA62" s="48"/>
      <c r="AB62" s="48"/>
      <c r="AC62" s="48"/>
      <c r="AD62" s="48"/>
      <c r="AE62" s="48"/>
      <c r="AF62" s="48"/>
      <c r="AG62" s="48"/>
    </row>
    <row r="63" spans="1:33" x14ac:dyDescent="0.25">
      <c r="B63" s="5"/>
    </row>
    <row r="64" spans="1:33" x14ac:dyDescent="0.25">
      <c r="A64" s="42" t="s">
        <v>68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4"/>
      <c r="AA64" s="43"/>
      <c r="AB64" s="43"/>
      <c r="AC64" s="43"/>
      <c r="AD64" s="43"/>
      <c r="AE64" s="43"/>
      <c r="AF64" s="43"/>
      <c r="AG64" s="43"/>
    </row>
    <row r="65" spans="1:33" x14ac:dyDescent="0.25">
      <c r="A65" s="43" t="s">
        <v>25</v>
      </c>
      <c r="B65" s="43">
        <v>3</v>
      </c>
      <c r="C65" s="43">
        <f>(B65)</f>
        <v>3</v>
      </c>
      <c r="D65" s="43">
        <f t="shared" ref="D65:AF65" si="30">(C65)</f>
        <v>3</v>
      </c>
      <c r="E65" s="43">
        <f t="shared" si="30"/>
        <v>3</v>
      </c>
      <c r="F65" s="43">
        <f t="shared" si="30"/>
        <v>3</v>
      </c>
      <c r="G65" s="43">
        <f t="shared" si="30"/>
        <v>3</v>
      </c>
      <c r="H65" s="43">
        <f t="shared" si="30"/>
        <v>3</v>
      </c>
      <c r="I65" s="43">
        <f t="shared" si="30"/>
        <v>3</v>
      </c>
      <c r="J65" s="43">
        <f t="shared" si="30"/>
        <v>3</v>
      </c>
      <c r="K65" s="43">
        <f t="shared" si="30"/>
        <v>3</v>
      </c>
      <c r="L65" s="43">
        <f t="shared" si="30"/>
        <v>3</v>
      </c>
      <c r="M65" s="43">
        <f t="shared" si="30"/>
        <v>3</v>
      </c>
      <c r="N65" s="43">
        <f t="shared" si="30"/>
        <v>3</v>
      </c>
      <c r="O65" s="43">
        <f t="shared" si="30"/>
        <v>3</v>
      </c>
      <c r="P65" s="43">
        <f t="shared" si="30"/>
        <v>3</v>
      </c>
      <c r="Q65" s="43">
        <f t="shared" si="30"/>
        <v>3</v>
      </c>
      <c r="R65" s="43">
        <f t="shared" si="30"/>
        <v>3</v>
      </c>
      <c r="S65" s="43">
        <f t="shared" si="30"/>
        <v>3</v>
      </c>
      <c r="T65" s="43">
        <f t="shared" si="30"/>
        <v>3</v>
      </c>
      <c r="U65" s="43">
        <f t="shared" si="30"/>
        <v>3</v>
      </c>
      <c r="V65" s="43">
        <f t="shared" si="30"/>
        <v>3</v>
      </c>
      <c r="W65" s="43">
        <f t="shared" si="30"/>
        <v>3</v>
      </c>
      <c r="X65" s="43">
        <f t="shared" si="30"/>
        <v>3</v>
      </c>
      <c r="Y65" s="43">
        <f t="shared" si="30"/>
        <v>3</v>
      </c>
      <c r="Z65" s="43">
        <f t="shared" si="30"/>
        <v>3</v>
      </c>
      <c r="AA65" s="43">
        <f t="shared" si="30"/>
        <v>3</v>
      </c>
      <c r="AB65" s="43">
        <f t="shared" si="30"/>
        <v>3</v>
      </c>
      <c r="AC65" s="43">
        <f t="shared" si="30"/>
        <v>3</v>
      </c>
      <c r="AD65" s="43">
        <f t="shared" si="30"/>
        <v>3</v>
      </c>
      <c r="AE65" s="43">
        <f t="shared" si="30"/>
        <v>3</v>
      </c>
      <c r="AF65" s="43">
        <f t="shared" si="30"/>
        <v>3</v>
      </c>
      <c r="AG65" s="43"/>
    </row>
    <row r="66" spans="1:33" x14ac:dyDescent="0.25">
      <c r="A66" s="43" t="s">
        <v>8</v>
      </c>
      <c r="B66" s="43">
        <f>(B4*B65)</f>
        <v>600</v>
      </c>
      <c r="C66" s="43">
        <f>(B66)</f>
        <v>600</v>
      </c>
      <c r="D66" s="43">
        <f t="shared" ref="D66:AF66" si="31">(C66)</f>
        <v>600</v>
      </c>
      <c r="E66" s="43">
        <f t="shared" si="31"/>
        <v>600</v>
      </c>
      <c r="F66" s="43">
        <f t="shared" si="31"/>
        <v>600</v>
      </c>
      <c r="G66" s="43">
        <f t="shared" si="31"/>
        <v>600</v>
      </c>
      <c r="H66" s="43">
        <f t="shared" si="31"/>
        <v>600</v>
      </c>
      <c r="I66" s="43">
        <f t="shared" si="31"/>
        <v>600</v>
      </c>
      <c r="J66" s="43">
        <f t="shared" si="31"/>
        <v>600</v>
      </c>
      <c r="K66" s="43">
        <f t="shared" si="31"/>
        <v>600</v>
      </c>
      <c r="L66" s="43">
        <f t="shared" si="31"/>
        <v>600</v>
      </c>
      <c r="M66" s="43">
        <f t="shared" si="31"/>
        <v>600</v>
      </c>
      <c r="N66" s="43">
        <f t="shared" si="31"/>
        <v>600</v>
      </c>
      <c r="O66" s="43">
        <f t="shared" si="31"/>
        <v>600</v>
      </c>
      <c r="P66" s="43">
        <f t="shared" si="31"/>
        <v>600</v>
      </c>
      <c r="Q66" s="43">
        <f t="shared" si="31"/>
        <v>600</v>
      </c>
      <c r="R66" s="43">
        <f t="shared" si="31"/>
        <v>600</v>
      </c>
      <c r="S66" s="43">
        <f t="shared" si="31"/>
        <v>600</v>
      </c>
      <c r="T66" s="43">
        <f t="shared" si="31"/>
        <v>600</v>
      </c>
      <c r="U66" s="43">
        <f t="shared" si="31"/>
        <v>600</v>
      </c>
      <c r="V66" s="43">
        <f t="shared" si="31"/>
        <v>600</v>
      </c>
      <c r="W66" s="43">
        <f t="shared" si="31"/>
        <v>600</v>
      </c>
      <c r="X66" s="43">
        <f t="shared" si="31"/>
        <v>600</v>
      </c>
      <c r="Y66" s="43">
        <f t="shared" si="31"/>
        <v>600</v>
      </c>
      <c r="Z66" s="43">
        <f t="shared" si="31"/>
        <v>600</v>
      </c>
      <c r="AA66" s="43">
        <f t="shared" si="31"/>
        <v>600</v>
      </c>
      <c r="AB66" s="43">
        <f t="shared" si="31"/>
        <v>600</v>
      </c>
      <c r="AC66" s="43">
        <f t="shared" si="31"/>
        <v>600</v>
      </c>
      <c r="AD66" s="43">
        <f t="shared" si="31"/>
        <v>600</v>
      </c>
      <c r="AE66" s="43">
        <f t="shared" si="31"/>
        <v>600</v>
      </c>
      <c r="AF66" s="43">
        <f t="shared" si="31"/>
        <v>600</v>
      </c>
      <c r="AG66" s="43"/>
    </row>
    <row r="67" spans="1:33" x14ac:dyDescent="0.25">
      <c r="A67" s="43" t="s">
        <v>9</v>
      </c>
      <c r="B67" s="43">
        <f>ROUNDUP((B66/100),0)</f>
        <v>6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6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5">
        <f>SUM(B67:Q67)</f>
        <v>6</v>
      </c>
    </row>
    <row r="68" spans="1:33" x14ac:dyDescent="0.25">
      <c r="A68" s="43" t="s">
        <v>56</v>
      </c>
      <c r="B68" s="43">
        <f>(B66)</f>
        <v>600</v>
      </c>
      <c r="C68" s="43">
        <f t="shared" ref="C68:AF68" si="32">(C66)</f>
        <v>600</v>
      </c>
      <c r="D68" s="43">
        <f t="shared" si="32"/>
        <v>600</v>
      </c>
      <c r="E68" s="43">
        <f t="shared" si="32"/>
        <v>600</v>
      </c>
      <c r="F68" s="43">
        <f t="shared" si="32"/>
        <v>600</v>
      </c>
      <c r="G68" s="43">
        <f t="shared" si="32"/>
        <v>600</v>
      </c>
      <c r="H68" s="43">
        <f t="shared" si="32"/>
        <v>600</v>
      </c>
      <c r="I68" s="43">
        <f t="shared" si="32"/>
        <v>600</v>
      </c>
      <c r="J68" s="43">
        <f t="shared" si="32"/>
        <v>600</v>
      </c>
      <c r="K68" s="43">
        <f t="shared" si="32"/>
        <v>600</v>
      </c>
      <c r="L68" s="43">
        <f t="shared" si="32"/>
        <v>600</v>
      </c>
      <c r="M68" s="43">
        <f t="shared" si="32"/>
        <v>600</v>
      </c>
      <c r="N68" s="43">
        <f t="shared" si="32"/>
        <v>600</v>
      </c>
      <c r="O68" s="43">
        <f t="shared" si="32"/>
        <v>600</v>
      </c>
      <c r="P68" s="43">
        <f t="shared" si="32"/>
        <v>600</v>
      </c>
      <c r="Q68" s="43">
        <f t="shared" si="32"/>
        <v>600</v>
      </c>
      <c r="R68" s="43">
        <f t="shared" si="32"/>
        <v>600</v>
      </c>
      <c r="S68" s="43">
        <f t="shared" si="32"/>
        <v>600</v>
      </c>
      <c r="T68" s="43">
        <f t="shared" si="32"/>
        <v>600</v>
      </c>
      <c r="U68" s="43">
        <f t="shared" si="32"/>
        <v>600</v>
      </c>
      <c r="V68" s="43">
        <f t="shared" si="32"/>
        <v>600</v>
      </c>
      <c r="W68" s="43">
        <f t="shared" si="32"/>
        <v>600</v>
      </c>
      <c r="X68" s="43">
        <f t="shared" si="32"/>
        <v>600</v>
      </c>
      <c r="Y68" s="43">
        <f t="shared" si="32"/>
        <v>600</v>
      </c>
      <c r="Z68" s="43">
        <f t="shared" si="32"/>
        <v>600</v>
      </c>
      <c r="AA68" s="43">
        <f t="shared" si="32"/>
        <v>600</v>
      </c>
      <c r="AB68" s="43">
        <f t="shared" si="32"/>
        <v>600</v>
      </c>
      <c r="AC68" s="43">
        <f t="shared" si="32"/>
        <v>600</v>
      </c>
      <c r="AD68" s="43">
        <f t="shared" si="32"/>
        <v>600</v>
      </c>
      <c r="AE68" s="43">
        <f t="shared" si="32"/>
        <v>600</v>
      </c>
      <c r="AF68" s="43">
        <f t="shared" si="32"/>
        <v>600</v>
      </c>
      <c r="AG68" s="45"/>
    </row>
    <row r="69" spans="1:33" x14ac:dyDescent="0.25">
      <c r="A69" s="43" t="s">
        <v>27</v>
      </c>
      <c r="B69" s="46">
        <f>(B67*1054)</f>
        <v>6324</v>
      </c>
      <c r="C69" s="46">
        <f t="shared" ref="C69:AF69" si="33">(C67*1054)</f>
        <v>0</v>
      </c>
      <c r="D69" s="46">
        <f t="shared" si="33"/>
        <v>0</v>
      </c>
      <c r="E69" s="46">
        <f t="shared" si="33"/>
        <v>0</v>
      </c>
      <c r="F69" s="46">
        <f t="shared" si="33"/>
        <v>0</v>
      </c>
      <c r="G69" s="46">
        <f t="shared" si="33"/>
        <v>0</v>
      </c>
      <c r="H69" s="46">
        <f t="shared" si="33"/>
        <v>0</v>
      </c>
      <c r="I69" s="46">
        <f t="shared" si="33"/>
        <v>0</v>
      </c>
      <c r="J69" s="46">
        <f t="shared" si="33"/>
        <v>0</v>
      </c>
      <c r="K69" s="46">
        <f t="shared" si="33"/>
        <v>0</v>
      </c>
      <c r="L69" s="46">
        <f t="shared" si="33"/>
        <v>0</v>
      </c>
      <c r="M69" s="46">
        <f t="shared" si="33"/>
        <v>0</v>
      </c>
      <c r="N69" s="46">
        <f t="shared" si="33"/>
        <v>0</v>
      </c>
      <c r="O69" s="46">
        <f t="shared" si="33"/>
        <v>0</v>
      </c>
      <c r="P69" s="46">
        <f t="shared" si="33"/>
        <v>0</v>
      </c>
      <c r="Q69" s="46">
        <f t="shared" si="33"/>
        <v>0</v>
      </c>
      <c r="R69" s="46">
        <f t="shared" si="33"/>
        <v>6324</v>
      </c>
      <c r="S69" s="46">
        <f t="shared" si="33"/>
        <v>0</v>
      </c>
      <c r="T69" s="46">
        <f t="shared" si="33"/>
        <v>0</v>
      </c>
      <c r="U69" s="46">
        <f t="shared" si="33"/>
        <v>0</v>
      </c>
      <c r="V69" s="46">
        <f t="shared" si="33"/>
        <v>0</v>
      </c>
      <c r="W69" s="46">
        <f t="shared" si="33"/>
        <v>0</v>
      </c>
      <c r="X69" s="46">
        <f t="shared" si="33"/>
        <v>0</v>
      </c>
      <c r="Y69" s="46">
        <f t="shared" si="33"/>
        <v>0</v>
      </c>
      <c r="Z69" s="46">
        <f t="shared" si="33"/>
        <v>0</v>
      </c>
      <c r="AA69" s="46">
        <f t="shared" si="33"/>
        <v>0</v>
      </c>
      <c r="AB69" s="46">
        <f t="shared" si="33"/>
        <v>0</v>
      </c>
      <c r="AC69" s="46">
        <f t="shared" si="33"/>
        <v>0</v>
      </c>
      <c r="AD69" s="46">
        <f t="shared" si="33"/>
        <v>0</v>
      </c>
      <c r="AE69" s="46">
        <f t="shared" si="33"/>
        <v>0</v>
      </c>
      <c r="AF69" s="46">
        <f t="shared" si="33"/>
        <v>0</v>
      </c>
      <c r="AG69" s="46">
        <f>SUM(B69:AF69)</f>
        <v>12648</v>
      </c>
    </row>
    <row r="70" spans="1:33" x14ac:dyDescent="0.25">
      <c r="A70" s="43" t="s">
        <v>14</v>
      </c>
      <c r="B70" s="43">
        <f>B67*2</f>
        <v>12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/>
    </row>
    <row r="71" spans="1:33" x14ac:dyDescent="0.25">
      <c r="A71" s="43" t="s">
        <v>6</v>
      </c>
      <c r="B71" s="46">
        <f>B70*2.75</f>
        <v>33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46">
        <f>SUM(B71:Q71)</f>
        <v>33</v>
      </c>
    </row>
    <row r="72" spans="1:33" x14ac:dyDescent="0.25">
      <c r="A72" s="43" t="s">
        <v>133</v>
      </c>
      <c r="B72" s="46">
        <f>(4*12)</f>
        <v>48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6">
        <v>48</v>
      </c>
    </row>
    <row r="73" spans="1:33" x14ac:dyDescent="0.25">
      <c r="A73" s="43" t="s">
        <v>10</v>
      </c>
      <c r="B73" s="46">
        <v>0</v>
      </c>
      <c r="C73" s="46">
        <f>(B73)</f>
        <v>0</v>
      </c>
      <c r="D73" s="46">
        <f t="shared" ref="D73:D74" si="34">(C73)</f>
        <v>0</v>
      </c>
      <c r="E73" s="46">
        <f t="shared" ref="E73:E74" si="35">(D73)</f>
        <v>0</v>
      </c>
      <c r="F73" s="46">
        <f t="shared" ref="F73:F74" si="36">(E73)</f>
        <v>0</v>
      </c>
      <c r="G73" s="46">
        <f t="shared" ref="G73:G74" si="37">(F73)</f>
        <v>0</v>
      </c>
      <c r="H73" s="46">
        <f t="shared" ref="H73:H74" si="38">(G73)</f>
        <v>0</v>
      </c>
      <c r="I73" s="46">
        <f t="shared" ref="I73:I74" si="39">(H73)</f>
        <v>0</v>
      </c>
      <c r="J73" s="46">
        <f t="shared" ref="J73:J74" si="40">(I73)</f>
        <v>0</v>
      </c>
      <c r="K73" s="46">
        <f t="shared" ref="K73:K74" si="41">(J73)</f>
        <v>0</v>
      </c>
      <c r="L73" s="46">
        <f t="shared" ref="L73:L74" si="42">(K73)</f>
        <v>0</v>
      </c>
      <c r="M73" s="46">
        <f t="shared" ref="M73:M74" si="43">(L73)</f>
        <v>0</v>
      </c>
      <c r="N73" s="46">
        <f t="shared" ref="N73:N74" si="44">(M73)</f>
        <v>0</v>
      </c>
      <c r="O73" s="46">
        <f t="shared" ref="O73:O74" si="45">(N73)</f>
        <v>0</v>
      </c>
      <c r="P73" s="46">
        <f t="shared" ref="P73:P74" si="46">(O73)</f>
        <v>0</v>
      </c>
      <c r="Q73" s="46">
        <f t="shared" ref="Q73:Q74" si="47">(P73)</f>
        <v>0</v>
      </c>
      <c r="R73" s="46">
        <f t="shared" ref="R73:R74" si="48">(Q73)</f>
        <v>0</v>
      </c>
      <c r="S73" s="46">
        <f t="shared" ref="S73:S74" si="49">(R73)</f>
        <v>0</v>
      </c>
      <c r="T73" s="46">
        <f t="shared" ref="T73:T74" si="50">(S73)</f>
        <v>0</v>
      </c>
      <c r="U73" s="46">
        <f t="shared" ref="U73:U74" si="51">(T73)</f>
        <v>0</v>
      </c>
      <c r="V73" s="46">
        <f t="shared" ref="V73:V74" si="52">(U73)</f>
        <v>0</v>
      </c>
      <c r="W73" s="46">
        <f t="shared" ref="W73:W74" si="53">(V73)</f>
        <v>0</v>
      </c>
      <c r="X73" s="46">
        <f t="shared" ref="X73:X74" si="54">(W73)</f>
        <v>0</v>
      </c>
      <c r="Y73" s="46">
        <f t="shared" ref="Y73:Y74" si="55">(X73)</f>
        <v>0</v>
      </c>
      <c r="Z73" s="46">
        <f t="shared" ref="Z73:Z74" si="56">(Y73)</f>
        <v>0</v>
      </c>
      <c r="AA73" s="46">
        <f t="shared" ref="AA73:AA74" si="57">(Z73)</f>
        <v>0</v>
      </c>
      <c r="AB73" s="46">
        <f t="shared" ref="AB73:AB74" si="58">(AA73)</f>
        <v>0</v>
      </c>
      <c r="AC73" s="46">
        <f t="shared" ref="AC73:AC74" si="59">(AB73)</f>
        <v>0</v>
      </c>
      <c r="AD73" s="46">
        <f t="shared" ref="AD73:AD74" si="60">(AC73)</f>
        <v>0</v>
      </c>
      <c r="AE73" s="46">
        <f t="shared" ref="AE73:AE74" si="61">(AD73)</f>
        <v>0</v>
      </c>
      <c r="AF73" s="46">
        <f t="shared" ref="AF73:AF74" si="62">(AE73)</f>
        <v>0</v>
      </c>
      <c r="AG73" s="46">
        <f>SUM(B73:AF73)</f>
        <v>0</v>
      </c>
    </row>
    <row r="74" spans="1:33" x14ac:dyDescent="0.25">
      <c r="A74" s="43" t="s">
        <v>11</v>
      </c>
      <c r="B74" s="46">
        <v>0</v>
      </c>
      <c r="C74" s="46">
        <f>(B74)</f>
        <v>0</v>
      </c>
      <c r="D74" s="46">
        <f t="shared" si="34"/>
        <v>0</v>
      </c>
      <c r="E74" s="46">
        <f t="shared" si="35"/>
        <v>0</v>
      </c>
      <c r="F74" s="46">
        <f t="shared" si="36"/>
        <v>0</v>
      </c>
      <c r="G74" s="46">
        <f t="shared" si="37"/>
        <v>0</v>
      </c>
      <c r="H74" s="46">
        <f t="shared" si="38"/>
        <v>0</v>
      </c>
      <c r="I74" s="46">
        <f t="shared" si="39"/>
        <v>0</v>
      </c>
      <c r="J74" s="46">
        <f t="shared" si="40"/>
        <v>0</v>
      </c>
      <c r="K74" s="46">
        <f t="shared" si="41"/>
        <v>0</v>
      </c>
      <c r="L74" s="46">
        <f t="shared" si="42"/>
        <v>0</v>
      </c>
      <c r="M74" s="46">
        <f t="shared" si="43"/>
        <v>0</v>
      </c>
      <c r="N74" s="46">
        <f t="shared" si="44"/>
        <v>0</v>
      </c>
      <c r="O74" s="46">
        <f t="shared" si="45"/>
        <v>0</v>
      </c>
      <c r="P74" s="46">
        <f t="shared" si="46"/>
        <v>0</v>
      </c>
      <c r="Q74" s="46">
        <f t="shared" si="47"/>
        <v>0</v>
      </c>
      <c r="R74" s="46">
        <f t="shared" si="48"/>
        <v>0</v>
      </c>
      <c r="S74" s="46">
        <f t="shared" si="49"/>
        <v>0</v>
      </c>
      <c r="T74" s="46">
        <f t="shared" si="50"/>
        <v>0</v>
      </c>
      <c r="U74" s="46">
        <f t="shared" si="51"/>
        <v>0</v>
      </c>
      <c r="V74" s="46">
        <f t="shared" si="52"/>
        <v>0</v>
      </c>
      <c r="W74" s="46">
        <f t="shared" si="53"/>
        <v>0</v>
      </c>
      <c r="X74" s="46">
        <f t="shared" si="54"/>
        <v>0</v>
      </c>
      <c r="Y74" s="46">
        <f t="shared" si="55"/>
        <v>0</v>
      </c>
      <c r="Z74" s="46">
        <f t="shared" si="56"/>
        <v>0</v>
      </c>
      <c r="AA74" s="46">
        <f t="shared" si="57"/>
        <v>0</v>
      </c>
      <c r="AB74" s="46">
        <f t="shared" si="58"/>
        <v>0</v>
      </c>
      <c r="AC74" s="46">
        <f t="shared" si="59"/>
        <v>0</v>
      </c>
      <c r="AD74" s="46">
        <f t="shared" si="60"/>
        <v>0</v>
      </c>
      <c r="AE74" s="46">
        <f t="shared" si="61"/>
        <v>0</v>
      </c>
      <c r="AF74" s="46">
        <f t="shared" si="62"/>
        <v>0</v>
      </c>
      <c r="AG74" s="46">
        <f>SUM(B74:AF74)</f>
        <v>0</v>
      </c>
    </row>
    <row r="75" spans="1:33" s="41" customFormat="1" x14ac:dyDescent="0.25">
      <c r="A75" s="43" t="s">
        <v>119</v>
      </c>
      <c r="B75" s="62">
        <f>(B66*365)</f>
        <v>219000</v>
      </c>
      <c r="C75" s="70">
        <f>($B$75*C2)</f>
        <v>219000</v>
      </c>
      <c r="D75" s="70">
        <f t="shared" ref="D75:AF75" si="63">($B$75*D2)</f>
        <v>438000</v>
      </c>
      <c r="E75" s="70">
        <f t="shared" si="63"/>
        <v>657000</v>
      </c>
      <c r="F75" s="70">
        <f t="shared" si="63"/>
        <v>876000</v>
      </c>
      <c r="G75" s="70">
        <f t="shared" si="63"/>
        <v>1095000</v>
      </c>
      <c r="H75" s="70">
        <f t="shared" si="63"/>
        <v>1314000</v>
      </c>
      <c r="I75" s="70">
        <f t="shared" si="63"/>
        <v>1533000</v>
      </c>
      <c r="J75" s="70">
        <f t="shared" si="63"/>
        <v>1752000</v>
      </c>
      <c r="K75" s="70">
        <f t="shared" si="63"/>
        <v>1971000</v>
      </c>
      <c r="L75" s="70">
        <f t="shared" si="63"/>
        <v>2190000</v>
      </c>
      <c r="M75" s="70">
        <f t="shared" si="63"/>
        <v>2409000</v>
      </c>
      <c r="N75" s="70">
        <f t="shared" si="63"/>
        <v>2628000</v>
      </c>
      <c r="O75" s="70">
        <f t="shared" si="63"/>
        <v>2847000</v>
      </c>
      <c r="P75" s="70">
        <f t="shared" si="63"/>
        <v>3066000</v>
      </c>
      <c r="Q75" s="70">
        <f t="shared" si="63"/>
        <v>3285000</v>
      </c>
      <c r="R75" s="70">
        <f t="shared" si="63"/>
        <v>3504000</v>
      </c>
      <c r="S75" s="70">
        <f t="shared" si="63"/>
        <v>3723000</v>
      </c>
      <c r="T75" s="70">
        <f t="shared" si="63"/>
        <v>3942000</v>
      </c>
      <c r="U75" s="70">
        <f t="shared" si="63"/>
        <v>4161000</v>
      </c>
      <c r="V75" s="70">
        <f t="shared" si="63"/>
        <v>4380000</v>
      </c>
      <c r="W75" s="70">
        <f t="shared" si="63"/>
        <v>4599000</v>
      </c>
      <c r="X75" s="70">
        <f t="shared" si="63"/>
        <v>4818000</v>
      </c>
      <c r="Y75" s="70">
        <f t="shared" si="63"/>
        <v>5037000</v>
      </c>
      <c r="Z75" s="70">
        <f t="shared" si="63"/>
        <v>5256000</v>
      </c>
      <c r="AA75" s="70">
        <f t="shared" si="63"/>
        <v>5475000</v>
      </c>
      <c r="AB75" s="70">
        <f t="shared" si="63"/>
        <v>5694000</v>
      </c>
      <c r="AC75" s="70">
        <f t="shared" si="63"/>
        <v>5913000</v>
      </c>
      <c r="AD75" s="70">
        <f t="shared" si="63"/>
        <v>6132000</v>
      </c>
      <c r="AE75" s="70">
        <f t="shared" si="63"/>
        <v>6351000</v>
      </c>
      <c r="AF75" s="70">
        <f t="shared" si="63"/>
        <v>6570000</v>
      </c>
      <c r="AG75" s="43"/>
    </row>
    <row r="76" spans="1:33" x14ac:dyDescent="0.25">
      <c r="A76" s="43" t="s">
        <v>124</v>
      </c>
      <c r="B76" s="46">
        <f>SUM(B69+B71+B73+B74)</f>
        <v>6357</v>
      </c>
      <c r="C76" s="46">
        <f t="shared" ref="C76:AF76" si="64">SUM(C69+C71+C73+C74)</f>
        <v>0</v>
      </c>
      <c r="D76" s="46">
        <f t="shared" si="64"/>
        <v>0</v>
      </c>
      <c r="E76" s="46">
        <f t="shared" si="64"/>
        <v>0</v>
      </c>
      <c r="F76" s="46">
        <f t="shared" si="64"/>
        <v>0</v>
      </c>
      <c r="G76" s="46">
        <f t="shared" si="64"/>
        <v>0</v>
      </c>
      <c r="H76" s="46">
        <f t="shared" si="64"/>
        <v>0</v>
      </c>
      <c r="I76" s="46">
        <f t="shared" si="64"/>
        <v>0</v>
      </c>
      <c r="J76" s="46">
        <f t="shared" si="64"/>
        <v>0</v>
      </c>
      <c r="K76" s="46">
        <f t="shared" si="64"/>
        <v>0</v>
      </c>
      <c r="L76" s="46">
        <f t="shared" si="64"/>
        <v>0</v>
      </c>
      <c r="M76" s="46">
        <f t="shared" si="64"/>
        <v>0</v>
      </c>
      <c r="N76" s="46">
        <f t="shared" si="64"/>
        <v>0</v>
      </c>
      <c r="O76" s="46">
        <f t="shared" si="64"/>
        <v>0</v>
      </c>
      <c r="P76" s="46">
        <f t="shared" si="64"/>
        <v>0</v>
      </c>
      <c r="Q76" s="46">
        <f t="shared" si="64"/>
        <v>0</v>
      </c>
      <c r="R76" s="46">
        <f t="shared" si="64"/>
        <v>6324</v>
      </c>
      <c r="S76" s="46">
        <f t="shared" si="64"/>
        <v>0</v>
      </c>
      <c r="T76" s="46">
        <f t="shared" si="64"/>
        <v>0</v>
      </c>
      <c r="U76" s="46">
        <f t="shared" si="64"/>
        <v>0</v>
      </c>
      <c r="V76" s="46">
        <f t="shared" si="64"/>
        <v>0</v>
      </c>
      <c r="W76" s="46">
        <f t="shared" si="64"/>
        <v>0</v>
      </c>
      <c r="X76" s="46">
        <f t="shared" si="64"/>
        <v>0</v>
      </c>
      <c r="Y76" s="46">
        <f t="shared" si="64"/>
        <v>0</v>
      </c>
      <c r="Z76" s="46">
        <f t="shared" si="64"/>
        <v>0</v>
      </c>
      <c r="AA76" s="46">
        <f t="shared" si="64"/>
        <v>0</v>
      </c>
      <c r="AB76" s="46">
        <f t="shared" si="64"/>
        <v>0</v>
      </c>
      <c r="AC76" s="46">
        <f t="shared" si="64"/>
        <v>0</v>
      </c>
      <c r="AD76" s="46">
        <f t="shared" si="64"/>
        <v>0</v>
      </c>
      <c r="AE76" s="46">
        <f t="shared" si="64"/>
        <v>0</v>
      </c>
      <c r="AF76" s="46">
        <f t="shared" si="64"/>
        <v>0</v>
      </c>
      <c r="AG76" s="43"/>
    </row>
    <row r="77" spans="1:33" x14ac:dyDescent="0.25">
      <c r="A77" s="43" t="s">
        <v>125</v>
      </c>
      <c r="B77" s="46">
        <f>B76</f>
        <v>6357</v>
      </c>
      <c r="C77" s="46">
        <f>B77+C76</f>
        <v>6357</v>
      </c>
      <c r="D77" s="46">
        <f t="shared" ref="D77:AF77" si="65">C77+D76</f>
        <v>6357</v>
      </c>
      <c r="E77" s="46">
        <f t="shared" si="65"/>
        <v>6357</v>
      </c>
      <c r="F77" s="46">
        <f t="shared" si="65"/>
        <v>6357</v>
      </c>
      <c r="G77" s="46">
        <f t="shared" si="65"/>
        <v>6357</v>
      </c>
      <c r="H77" s="46">
        <f t="shared" si="65"/>
        <v>6357</v>
      </c>
      <c r="I77" s="46">
        <f t="shared" si="65"/>
        <v>6357</v>
      </c>
      <c r="J77" s="46">
        <f t="shared" si="65"/>
        <v>6357</v>
      </c>
      <c r="K77" s="46">
        <f t="shared" si="65"/>
        <v>6357</v>
      </c>
      <c r="L77" s="46">
        <f t="shared" si="65"/>
        <v>6357</v>
      </c>
      <c r="M77" s="46">
        <f t="shared" si="65"/>
        <v>6357</v>
      </c>
      <c r="N77" s="46">
        <f t="shared" si="65"/>
        <v>6357</v>
      </c>
      <c r="O77" s="46">
        <f t="shared" si="65"/>
        <v>6357</v>
      </c>
      <c r="P77" s="46">
        <f t="shared" si="65"/>
        <v>6357</v>
      </c>
      <c r="Q77" s="46">
        <f t="shared" si="65"/>
        <v>6357</v>
      </c>
      <c r="R77" s="46">
        <f t="shared" si="65"/>
        <v>12681</v>
      </c>
      <c r="S77" s="46">
        <f t="shared" si="65"/>
        <v>12681</v>
      </c>
      <c r="T77" s="46">
        <f t="shared" si="65"/>
        <v>12681</v>
      </c>
      <c r="U77" s="46">
        <f t="shared" si="65"/>
        <v>12681</v>
      </c>
      <c r="V77" s="46">
        <f t="shared" si="65"/>
        <v>12681</v>
      </c>
      <c r="W77" s="46">
        <f t="shared" si="65"/>
        <v>12681</v>
      </c>
      <c r="X77" s="46">
        <f t="shared" si="65"/>
        <v>12681</v>
      </c>
      <c r="Y77" s="46">
        <f t="shared" si="65"/>
        <v>12681</v>
      </c>
      <c r="Z77" s="46">
        <f t="shared" si="65"/>
        <v>12681</v>
      </c>
      <c r="AA77" s="46">
        <f t="shared" si="65"/>
        <v>12681</v>
      </c>
      <c r="AB77" s="46">
        <f t="shared" si="65"/>
        <v>12681</v>
      </c>
      <c r="AC77" s="46">
        <f t="shared" si="65"/>
        <v>12681</v>
      </c>
      <c r="AD77" s="46">
        <f t="shared" si="65"/>
        <v>12681</v>
      </c>
      <c r="AE77" s="46">
        <f t="shared" si="65"/>
        <v>12681</v>
      </c>
      <c r="AF77" s="46">
        <f t="shared" si="65"/>
        <v>12681</v>
      </c>
      <c r="AG77" s="43"/>
    </row>
    <row r="78" spans="1:33" x14ac:dyDescent="0.25">
      <c r="A78" s="43" t="s">
        <v>126</v>
      </c>
      <c r="B78" s="46">
        <f>SUM(AG69:AG74)</f>
        <v>12729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>
        <f>SUM(AG69:AG74)</f>
        <v>12729</v>
      </c>
    </row>
    <row r="79" spans="1:33" x14ac:dyDescent="0.25">
      <c r="A79" s="43" t="s">
        <v>127</v>
      </c>
      <c r="B79" s="46">
        <f>B77</f>
        <v>6357</v>
      </c>
      <c r="C79" s="46">
        <f>SUM(C77/C2)</f>
        <v>6357</v>
      </c>
      <c r="D79" s="46">
        <f t="shared" ref="D79:AF79" si="66">SUM(D77/D2)</f>
        <v>3178.5</v>
      </c>
      <c r="E79" s="46">
        <f t="shared" si="66"/>
        <v>2119</v>
      </c>
      <c r="F79" s="46">
        <f t="shared" si="66"/>
        <v>1589.25</v>
      </c>
      <c r="G79" s="46">
        <f t="shared" si="66"/>
        <v>1271.4000000000001</v>
      </c>
      <c r="H79" s="46">
        <f t="shared" si="66"/>
        <v>1059.5</v>
      </c>
      <c r="I79" s="46">
        <f t="shared" si="66"/>
        <v>908.14285714285711</v>
      </c>
      <c r="J79" s="46">
        <f t="shared" si="66"/>
        <v>794.625</v>
      </c>
      <c r="K79" s="46">
        <f t="shared" si="66"/>
        <v>706.33333333333337</v>
      </c>
      <c r="L79" s="46">
        <f t="shared" si="66"/>
        <v>635.70000000000005</v>
      </c>
      <c r="M79" s="46">
        <f t="shared" si="66"/>
        <v>577.90909090909088</v>
      </c>
      <c r="N79" s="46">
        <f t="shared" si="66"/>
        <v>529.75</v>
      </c>
      <c r="O79" s="46">
        <f t="shared" si="66"/>
        <v>489</v>
      </c>
      <c r="P79" s="46">
        <f t="shared" si="66"/>
        <v>454.07142857142856</v>
      </c>
      <c r="Q79" s="46">
        <f t="shared" si="66"/>
        <v>423.8</v>
      </c>
      <c r="R79" s="46">
        <f t="shared" si="66"/>
        <v>792.5625</v>
      </c>
      <c r="S79" s="46">
        <f t="shared" si="66"/>
        <v>745.94117647058829</v>
      </c>
      <c r="T79" s="46">
        <f t="shared" si="66"/>
        <v>704.5</v>
      </c>
      <c r="U79" s="46">
        <f t="shared" si="66"/>
        <v>667.42105263157896</v>
      </c>
      <c r="V79" s="46">
        <f t="shared" si="66"/>
        <v>634.04999999999995</v>
      </c>
      <c r="W79" s="46">
        <f t="shared" si="66"/>
        <v>603.85714285714289</v>
      </c>
      <c r="X79" s="46">
        <f t="shared" si="66"/>
        <v>576.40909090909088</v>
      </c>
      <c r="Y79" s="46">
        <f t="shared" si="66"/>
        <v>551.3478260869565</v>
      </c>
      <c r="Z79" s="46">
        <f t="shared" si="66"/>
        <v>528.375</v>
      </c>
      <c r="AA79" s="46">
        <f t="shared" si="66"/>
        <v>507.24</v>
      </c>
      <c r="AB79" s="46">
        <f t="shared" si="66"/>
        <v>487.73076923076923</v>
      </c>
      <c r="AC79" s="46">
        <f t="shared" si="66"/>
        <v>469.66666666666669</v>
      </c>
      <c r="AD79" s="46">
        <f t="shared" si="66"/>
        <v>452.89285714285717</v>
      </c>
      <c r="AE79" s="46">
        <f t="shared" si="66"/>
        <v>437.27586206896552</v>
      </c>
      <c r="AF79" s="46">
        <f t="shared" si="66"/>
        <v>422.7</v>
      </c>
      <c r="AG79" s="46"/>
    </row>
    <row r="80" spans="1:33" s="76" customFormat="1" x14ac:dyDescent="0.25">
      <c r="A80" s="75" t="s">
        <v>108</v>
      </c>
      <c r="B80" s="75">
        <f>(B77/B75)</f>
        <v>2.9027397260273972E-2</v>
      </c>
      <c r="C80" s="75">
        <f t="shared" ref="C80:AF80" si="67">(C77/C75)</f>
        <v>2.9027397260273972E-2</v>
      </c>
      <c r="D80" s="75">
        <f t="shared" si="67"/>
        <v>1.4513698630136986E-2</v>
      </c>
      <c r="E80" s="75">
        <f t="shared" si="67"/>
        <v>9.6757990867579902E-3</v>
      </c>
      <c r="F80" s="75">
        <f t="shared" si="67"/>
        <v>7.2568493150684931E-3</v>
      </c>
      <c r="G80" s="75">
        <f t="shared" si="67"/>
        <v>5.8054794520547943E-3</v>
      </c>
      <c r="H80" s="75">
        <f t="shared" si="67"/>
        <v>4.8378995433789951E-3</v>
      </c>
      <c r="I80" s="75">
        <f t="shared" si="67"/>
        <v>4.1467710371819958E-3</v>
      </c>
      <c r="J80" s="75">
        <f t="shared" si="67"/>
        <v>3.6284246575342466E-3</v>
      </c>
      <c r="K80" s="75">
        <f t="shared" si="67"/>
        <v>3.2252663622526637E-3</v>
      </c>
      <c r="L80" s="75">
        <f t="shared" si="67"/>
        <v>2.9027397260273972E-3</v>
      </c>
      <c r="M80" s="75">
        <f t="shared" si="67"/>
        <v>2.638854296388543E-3</v>
      </c>
      <c r="N80" s="75">
        <f t="shared" si="67"/>
        <v>2.4189497716894976E-3</v>
      </c>
      <c r="O80" s="75">
        <f t="shared" si="67"/>
        <v>2.2328767123287671E-3</v>
      </c>
      <c r="P80" s="75">
        <f t="shared" si="67"/>
        <v>2.0733855185909979E-3</v>
      </c>
      <c r="Q80" s="75">
        <f t="shared" si="67"/>
        <v>1.9351598173515982E-3</v>
      </c>
      <c r="R80" s="75">
        <f t="shared" si="67"/>
        <v>3.6190068493150685E-3</v>
      </c>
      <c r="S80" s="75">
        <f t="shared" si="67"/>
        <v>3.4061240934730058E-3</v>
      </c>
      <c r="T80" s="75">
        <f t="shared" si="67"/>
        <v>3.2168949771689496E-3</v>
      </c>
      <c r="U80" s="75">
        <f t="shared" si="67"/>
        <v>3.0475847152126893E-3</v>
      </c>
      <c r="V80" s="75">
        <f t="shared" si="67"/>
        <v>2.895205479452055E-3</v>
      </c>
      <c r="W80" s="75">
        <f t="shared" si="67"/>
        <v>2.7573385518590999E-3</v>
      </c>
      <c r="X80" s="75">
        <f t="shared" si="67"/>
        <v>2.6320049813200498E-3</v>
      </c>
      <c r="Y80" s="75">
        <f t="shared" si="67"/>
        <v>2.5175699821322214E-3</v>
      </c>
      <c r="Z80" s="75">
        <f t="shared" si="67"/>
        <v>2.4126712328767122E-3</v>
      </c>
      <c r="AA80" s="75">
        <f t="shared" si="67"/>
        <v>2.3161643835616437E-3</v>
      </c>
      <c r="AB80" s="75">
        <f t="shared" si="67"/>
        <v>2.2270811380400422E-3</v>
      </c>
      <c r="AC80" s="75">
        <f t="shared" si="67"/>
        <v>2.1445966514459665E-3</v>
      </c>
      <c r="AD80" s="75">
        <f t="shared" si="67"/>
        <v>2.0680039138943249E-3</v>
      </c>
      <c r="AE80" s="75">
        <f t="shared" si="67"/>
        <v>1.9966934341048652E-3</v>
      </c>
      <c r="AF80" s="75">
        <f t="shared" si="67"/>
        <v>1.9301369863013698E-3</v>
      </c>
      <c r="AG80" s="75"/>
    </row>
    <row r="81" spans="1:33" x14ac:dyDescent="0.25">
      <c r="A81" s="43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</row>
    <row r="82" spans="1:33" x14ac:dyDescent="0.25">
      <c r="A82" s="42" t="s">
        <v>69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3"/>
    </row>
    <row r="83" spans="1:33" x14ac:dyDescent="0.25">
      <c r="A83" s="43" t="s">
        <v>139</v>
      </c>
      <c r="B83" s="47">
        <f>(B78/B68)</f>
        <v>21.215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4"/>
      <c r="AA83" s="43"/>
      <c r="AB83" s="43"/>
      <c r="AC83" s="43"/>
      <c r="AD83" s="43"/>
      <c r="AE83" s="43"/>
      <c r="AF83" s="43"/>
      <c r="AG83" s="43"/>
    </row>
    <row r="84" spans="1:33" x14ac:dyDescent="0.25">
      <c r="B84" s="5"/>
      <c r="AG84" s="3"/>
    </row>
    <row r="85" spans="1:33" x14ac:dyDescent="0.25">
      <c r="A85" s="35" t="s">
        <v>70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7"/>
      <c r="AA85" s="36"/>
      <c r="AB85" s="36"/>
      <c r="AC85" s="36"/>
      <c r="AD85" s="36"/>
      <c r="AE85" s="36"/>
      <c r="AF85" s="36"/>
      <c r="AG85" s="36"/>
    </row>
    <row r="86" spans="1:33" x14ac:dyDescent="0.25">
      <c r="A86" s="36" t="s">
        <v>25</v>
      </c>
      <c r="B86" s="36">
        <v>5</v>
      </c>
      <c r="C86" s="36">
        <f>(B86)</f>
        <v>5</v>
      </c>
      <c r="D86" s="36">
        <f t="shared" ref="D86:AF86" si="68">(C86)</f>
        <v>5</v>
      </c>
      <c r="E86" s="36">
        <f t="shared" si="68"/>
        <v>5</v>
      </c>
      <c r="F86" s="36">
        <f t="shared" si="68"/>
        <v>5</v>
      </c>
      <c r="G86" s="36">
        <f t="shared" si="68"/>
        <v>5</v>
      </c>
      <c r="H86" s="36">
        <f t="shared" si="68"/>
        <v>5</v>
      </c>
      <c r="I86" s="36">
        <f t="shared" si="68"/>
        <v>5</v>
      </c>
      <c r="J86" s="36">
        <f t="shared" si="68"/>
        <v>5</v>
      </c>
      <c r="K86" s="36">
        <f t="shared" si="68"/>
        <v>5</v>
      </c>
      <c r="L86" s="36">
        <f t="shared" si="68"/>
        <v>5</v>
      </c>
      <c r="M86" s="36">
        <f t="shared" si="68"/>
        <v>5</v>
      </c>
      <c r="N86" s="36">
        <f t="shared" si="68"/>
        <v>5</v>
      </c>
      <c r="O86" s="36">
        <f t="shared" si="68"/>
        <v>5</v>
      </c>
      <c r="P86" s="36">
        <f t="shared" si="68"/>
        <v>5</v>
      </c>
      <c r="Q86" s="36">
        <f t="shared" si="68"/>
        <v>5</v>
      </c>
      <c r="R86" s="36">
        <f t="shared" si="68"/>
        <v>5</v>
      </c>
      <c r="S86" s="36">
        <f t="shared" si="68"/>
        <v>5</v>
      </c>
      <c r="T86" s="36">
        <f t="shared" si="68"/>
        <v>5</v>
      </c>
      <c r="U86" s="36">
        <f t="shared" si="68"/>
        <v>5</v>
      </c>
      <c r="V86" s="36">
        <f t="shared" si="68"/>
        <v>5</v>
      </c>
      <c r="W86" s="36">
        <f t="shared" si="68"/>
        <v>5</v>
      </c>
      <c r="X86" s="36">
        <f t="shared" si="68"/>
        <v>5</v>
      </c>
      <c r="Y86" s="36">
        <f t="shared" si="68"/>
        <v>5</v>
      </c>
      <c r="Z86" s="36">
        <f t="shared" si="68"/>
        <v>5</v>
      </c>
      <c r="AA86" s="36">
        <f t="shared" si="68"/>
        <v>5</v>
      </c>
      <c r="AB86" s="36">
        <f t="shared" si="68"/>
        <v>5</v>
      </c>
      <c r="AC86" s="36">
        <f t="shared" si="68"/>
        <v>5</v>
      </c>
      <c r="AD86" s="36">
        <f t="shared" si="68"/>
        <v>5</v>
      </c>
      <c r="AE86" s="36">
        <f t="shared" si="68"/>
        <v>5</v>
      </c>
      <c r="AF86" s="36">
        <f t="shared" si="68"/>
        <v>5</v>
      </c>
      <c r="AG86" s="36"/>
    </row>
    <row r="87" spans="1:33" x14ac:dyDescent="0.25">
      <c r="A87" s="36" t="s">
        <v>8</v>
      </c>
      <c r="B87" s="36">
        <f>(B4*B86)</f>
        <v>1000</v>
      </c>
      <c r="C87" s="36">
        <f>(B87)</f>
        <v>1000</v>
      </c>
      <c r="D87" s="36">
        <f t="shared" ref="D87:AF87" si="69">(C87)</f>
        <v>1000</v>
      </c>
      <c r="E87" s="36">
        <f t="shared" si="69"/>
        <v>1000</v>
      </c>
      <c r="F87" s="36">
        <f t="shared" si="69"/>
        <v>1000</v>
      </c>
      <c r="G87" s="36">
        <f t="shared" si="69"/>
        <v>1000</v>
      </c>
      <c r="H87" s="36">
        <f t="shared" si="69"/>
        <v>1000</v>
      </c>
      <c r="I87" s="36">
        <f t="shared" si="69"/>
        <v>1000</v>
      </c>
      <c r="J87" s="36">
        <f t="shared" si="69"/>
        <v>1000</v>
      </c>
      <c r="K87" s="36">
        <f t="shared" si="69"/>
        <v>1000</v>
      </c>
      <c r="L87" s="36">
        <f t="shared" si="69"/>
        <v>1000</v>
      </c>
      <c r="M87" s="36">
        <f t="shared" si="69"/>
        <v>1000</v>
      </c>
      <c r="N87" s="36">
        <f t="shared" si="69"/>
        <v>1000</v>
      </c>
      <c r="O87" s="36">
        <f t="shared" si="69"/>
        <v>1000</v>
      </c>
      <c r="P87" s="36">
        <f t="shared" si="69"/>
        <v>1000</v>
      </c>
      <c r="Q87" s="36">
        <f t="shared" si="69"/>
        <v>1000</v>
      </c>
      <c r="R87" s="36">
        <f t="shared" si="69"/>
        <v>1000</v>
      </c>
      <c r="S87" s="36">
        <f t="shared" si="69"/>
        <v>1000</v>
      </c>
      <c r="T87" s="36">
        <f t="shared" si="69"/>
        <v>1000</v>
      </c>
      <c r="U87" s="36">
        <f t="shared" si="69"/>
        <v>1000</v>
      </c>
      <c r="V87" s="36">
        <f t="shared" si="69"/>
        <v>1000</v>
      </c>
      <c r="W87" s="36">
        <f t="shared" si="69"/>
        <v>1000</v>
      </c>
      <c r="X87" s="36">
        <f t="shared" si="69"/>
        <v>1000</v>
      </c>
      <c r="Y87" s="36">
        <f t="shared" si="69"/>
        <v>1000</v>
      </c>
      <c r="Z87" s="36">
        <f t="shared" si="69"/>
        <v>1000</v>
      </c>
      <c r="AA87" s="36">
        <f t="shared" si="69"/>
        <v>1000</v>
      </c>
      <c r="AB87" s="36">
        <f t="shared" si="69"/>
        <v>1000</v>
      </c>
      <c r="AC87" s="36">
        <f t="shared" si="69"/>
        <v>1000</v>
      </c>
      <c r="AD87" s="36">
        <f t="shared" si="69"/>
        <v>1000</v>
      </c>
      <c r="AE87" s="36">
        <f t="shared" si="69"/>
        <v>1000</v>
      </c>
      <c r="AF87" s="36">
        <f t="shared" si="69"/>
        <v>1000</v>
      </c>
      <c r="AG87" s="36"/>
    </row>
    <row r="88" spans="1:33" x14ac:dyDescent="0.25">
      <c r="A88" s="36" t="s">
        <v>9</v>
      </c>
      <c r="B88" s="36">
        <f>ROUNDUP((B87/100),0)</f>
        <v>10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10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8">
        <f>SUM(B88:Q88)</f>
        <v>10</v>
      </c>
    </row>
    <row r="89" spans="1:33" x14ac:dyDescent="0.25">
      <c r="A89" s="36" t="s">
        <v>56</v>
      </c>
      <c r="B89" s="36">
        <f>(B87)</f>
        <v>1000</v>
      </c>
      <c r="C89" s="36">
        <f t="shared" ref="C89:AF89" si="70">(C87)</f>
        <v>1000</v>
      </c>
      <c r="D89" s="36">
        <f t="shared" si="70"/>
        <v>1000</v>
      </c>
      <c r="E89" s="36">
        <f t="shared" si="70"/>
        <v>1000</v>
      </c>
      <c r="F89" s="36">
        <f t="shared" si="70"/>
        <v>1000</v>
      </c>
      <c r="G89" s="36">
        <f t="shared" si="70"/>
        <v>1000</v>
      </c>
      <c r="H89" s="36">
        <f t="shared" si="70"/>
        <v>1000</v>
      </c>
      <c r="I89" s="36">
        <f t="shared" si="70"/>
        <v>1000</v>
      </c>
      <c r="J89" s="36">
        <f t="shared" si="70"/>
        <v>1000</v>
      </c>
      <c r="K89" s="36">
        <f t="shared" si="70"/>
        <v>1000</v>
      </c>
      <c r="L89" s="36">
        <f t="shared" si="70"/>
        <v>1000</v>
      </c>
      <c r="M89" s="36">
        <f t="shared" si="70"/>
        <v>1000</v>
      </c>
      <c r="N89" s="36">
        <f t="shared" si="70"/>
        <v>1000</v>
      </c>
      <c r="O89" s="36">
        <f t="shared" si="70"/>
        <v>1000</v>
      </c>
      <c r="P89" s="36">
        <f t="shared" si="70"/>
        <v>1000</v>
      </c>
      <c r="Q89" s="36">
        <f t="shared" si="70"/>
        <v>1000</v>
      </c>
      <c r="R89" s="36">
        <f t="shared" si="70"/>
        <v>1000</v>
      </c>
      <c r="S89" s="36">
        <f t="shared" si="70"/>
        <v>1000</v>
      </c>
      <c r="T89" s="36">
        <f t="shared" si="70"/>
        <v>1000</v>
      </c>
      <c r="U89" s="36">
        <f t="shared" si="70"/>
        <v>1000</v>
      </c>
      <c r="V89" s="36">
        <f t="shared" si="70"/>
        <v>1000</v>
      </c>
      <c r="W89" s="36">
        <f t="shared" si="70"/>
        <v>1000</v>
      </c>
      <c r="X89" s="36">
        <f t="shared" si="70"/>
        <v>1000</v>
      </c>
      <c r="Y89" s="36">
        <f t="shared" si="70"/>
        <v>1000</v>
      </c>
      <c r="Z89" s="36">
        <f t="shared" si="70"/>
        <v>1000</v>
      </c>
      <c r="AA89" s="36">
        <f t="shared" si="70"/>
        <v>1000</v>
      </c>
      <c r="AB89" s="36">
        <f t="shared" si="70"/>
        <v>1000</v>
      </c>
      <c r="AC89" s="36">
        <f t="shared" si="70"/>
        <v>1000</v>
      </c>
      <c r="AD89" s="36">
        <f t="shared" si="70"/>
        <v>1000</v>
      </c>
      <c r="AE89" s="36">
        <f t="shared" si="70"/>
        <v>1000</v>
      </c>
      <c r="AF89" s="36">
        <f t="shared" si="70"/>
        <v>1000</v>
      </c>
      <c r="AG89" s="38"/>
    </row>
    <row r="90" spans="1:33" x14ac:dyDescent="0.25">
      <c r="A90" s="36" t="s">
        <v>27</v>
      </c>
      <c r="B90" s="39">
        <f>(B88*1054)</f>
        <v>10540</v>
      </c>
      <c r="C90" s="39">
        <f t="shared" ref="C90:AF90" si="71">(C88*1054)</f>
        <v>0</v>
      </c>
      <c r="D90" s="39">
        <f t="shared" si="71"/>
        <v>0</v>
      </c>
      <c r="E90" s="39">
        <f t="shared" si="71"/>
        <v>0</v>
      </c>
      <c r="F90" s="39">
        <f t="shared" si="71"/>
        <v>0</v>
      </c>
      <c r="G90" s="39">
        <f t="shared" si="71"/>
        <v>0</v>
      </c>
      <c r="H90" s="39">
        <f t="shared" si="71"/>
        <v>0</v>
      </c>
      <c r="I90" s="39">
        <f t="shared" si="71"/>
        <v>0</v>
      </c>
      <c r="J90" s="39">
        <f t="shared" si="71"/>
        <v>0</v>
      </c>
      <c r="K90" s="39">
        <f t="shared" si="71"/>
        <v>0</v>
      </c>
      <c r="L90" s="39">
        <f t="shared" si="71"/>
        <v>0</v>
      </c>
      <c r="M90" s="39">
        <f t="shared" si="71"/>
        <v>0</v>
      </c>
      <c r="N90" s="39">
        <f t="shared" si="71"/>
        <v>0</v>
      </c>
      <c r="O90" s="39">
        <f t="shared" si="71"/>
        <v>0</v>
      </c>
      <c r="P90" s="39">
        <f t="shared" si="71"/>
        <v>0</v>
      </c>
      <c r="Q90" s="39">
        <f t="shared" si="71"/>
        <v>0</v>
      </c>
      <c r="R90" s="39">
        <f t="shared" si="71"/>
        <v>10540</v>
      </c>
      <c r="S90" s="39">
        <f t="shared" si="71"/>
        <v>0</v>
      </c>
      <c r="T90" s="39">
        <f t="shared" si="71"/>
        <v>0</v>
      </c>
      <c r="U90" s="39">
        <f t="shared" si="71"/>
        <v>0</v>
      </c>
      <c r="V90" s="39">
        <f t="shared" si="71"/>
        <v>0</v>
      </c>
      <c r="W90" s="39">
        <f t="shared" si="71"/>
        <v>0</v>
      </c>
      <c r="X90" s="39">
        <f t="shared" si="71"/>
        <v>0</v>
      </c>
      <c r="Y90" s="39">
        <f t="shared" si="71"/>
        <v>0</v>
      </c>
      <c r="Z90" s="39">
        <f t="shared" si="71"/>
        <v>0</v>
      </c>
      <c r="AA90" s="39">
        <f t="shared" si="71"/>
        <v>0</v>
      </c>
      <c r="AB90" s="39">
        <f t="shared" si="71"/>
        <v>0</v>
      </c>
      <c r="AC90" s="39">
        <f t="shared" si="71"/>
        <v>0</v>
      </c>
      <c r="AD90" s="39">
        <f t="shared" si="71"/>
        <v>0</v>
      </c>
      <c r="AE90" s="39">
        <f t="shared" si="71"/>
        <v>0</v>
      </c>
      <c r="AF90" s="39">
        <f t="shared" si="71"/>
        <v>0</v>
      </c>
      <c r="AG90" s="39">
        <f>SUM(B90:AF90)</f>
        <v>21080</v>
      </c>
    </row>
    <row r="91" spans="1:33" x14ac:dyDescent="0.25">
      <c r="A91" s="36" t="s">
        <v>14</v>
      </c>
      <c r="B91" s="36">
        <f>B88*2</f>
        <v>20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/>
    </row>
    <row r="92" spans="1:33" x14ac:dyDescent="0.25">
      <c r="A92" s="36" t="s">
        <v>6</v>
      </c>
      <c r="B92" s="39">
        <f>B91*2.75</f>
        <v>55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9">
        <f>SUM(B92:Q92)</f>
        <v>55</v>
      </c>
    </row>
    <row r="93" spans="1:33" x14ac:dyDescent="0.25">
      <c r="A93" s="36" t="s">
        <v>133</v>
      </c>
      <c r="B93" s="39">
        <f>(6*12)</f>
        <v>72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9">
        <v>48</v>
      </c>
    </row>
    <row r="94" spans="1:33" x14ac:dyDescent="0.25">
      <c r="A94" s="36" t="s">
        <v>10</v>
      </c>
      <c r="B94" s="39">
        <v>0</v>
      </c>
      <c r="C94" s="39">
        <f>(B94)</f>
        <v>0</v>
      </c>
      <c r="D94" s="39">
        <f t="shared" ref="D94:D95" si="72">(C94)</f>
        <v>0</v>
      </c>
      <c r="E94" s="39">
        <f t="shared" ref="E94:E95" si="73">(D94)</f>
        <v>0</v>
      </c>
      <c r="F94" s="39">
        <f t="shared" ref="F94:F95" si="74">(E94)</f>
        <v>0</v>
      </c>
      <c r="G94" s="39">
        <f t="shared" ref="G94:G95" si="75">(F94)</f>
        <v>0</v>
      </c>
      <c r="H94" s="39">
        <f t="shared" ref="H94:H95" si="76">(G94)</f>
        <v>0</v>
      </c>
      <c r="I94" s="39">
        <f t="shared" ref="I94:I95" si="77">(H94)</f>
        <v>0</v>
      </c>
      <c r="J94" s="39">
        <f t="shared" ref="J94:J95" si="78">(I94)</f>
        <v>0</v>
      </c>
      <c r="K94" s="39">
        <f t="shared" ref="K94:K95" si="79">(J94)</f>
        <v>0</v>
      </c>
      <c r="L94" s="39">
        <f t="shared" ref="L94:L95" si="80">(K94)</f>
        <v>0</v>
      </c>
      <c r="M94" s="39">
        <f t="shared" ref="M94:M95" si="81">(L94)</f>
        <v>0</v>
      </c>
      <c r="N94" s="39">
        <f t="shared" ref="N94:N95" si="82">(M94)</f>
        <v>0</v>
      </c>
      <c r="O94" s="39">
        <f t="shared" ref="O94:O95" si="83">(N94)</f>
        <v>0</v>
      </c>
      <c r="P94" s="39">
        <f t="shared" ref="P94:P95" si="84">(O94)</f>
        <v>0</v>
      </c>
      <c r="Q94" s="39">
        <f t="shared" ref="Q94:Q95" si="85">(P94)</f>
        <v>0</v>
      </c>
      <c r="R94" s="39">
        <f t="shared" ref="R94:R95" si="86">(Q94)</f>
        <v>0</v>
      </c>
      <c r="S94" s="39">
        <f t="shared" ref="S94:S95" si="87">(R94)</f>
        <v>0</v>
      </c>
      <c r="T94" s="39">
        <f t="shared" ref="T94:T95" si="88">(S94)</f>
        <v>0</v>
      </c>
      <c r="U94" s="39">
        <f t="shared" ref="U94:U95" si="89">(T94)</f>
        <v>0</v>
      </c>
      <c r="V94" s="39">
        <f t="shared" ref="V94:V95" si="90">(U94)</f>
        <v>0</v>
      </c>
      <c r="W94" s="39">
        <f t="shared" ref="W94:W95" si="91">(V94)</f>
        <v>0</v>
      </c>
      <c r="X94" s="39">
        <f t="shared" ref="X94:X95" si="92">(W94)</f>
        <v>0</v>
      </c>
      <c r="Y94" s="39">
        <f t="shared" ref="Y94:Y95" si="93">(X94)</f>
        <v>0</v>
      </c>
      <c r="Z94" s="39">
        <f t="shared" ref="Z94:Z95" si="94">(Y94)</f>
        <v>0</v>
      </c>
      <c r="AA94" s="39">
        <f t="shared" ref="AA94:AA95" si="95">(Z94)</f>
        <v>0</v>
      </c>
      <c r="AB94" s="39">
        <f t="shared" ref="AB94:AB95" si="96">(AA94)</f>
        <v>0</v>
      </c>
      <c r="AC94" s="39">
        <f t="shared" ref="AC94:AC95" si="97">(AB94)</f>
        <v>0</v>
      </c>
      <c r="AD94" s="39">
        <f t="shared" ref="AD94:AD95" si="98">(AC94)</f>
        <v>0</v>
      </c>
      <c r="AE94" s="39">
        <f t="shared" ref="AE94:AE95" si="99">(AD94)</f>
        <v>0</v>
      </c>
      <c r="AF94" s="39">
        <f t="shared" ref="AF94:AF95" si="100">(AE94)</f>
        <v>0</v>
      </c>
      <c r="AG94" s="39">
        <f>SUM(B94:AF94)</f>
        <v>0</v>
      </c>
    </row>
    <row r="95" spans="1:33" x14ac:dyDescent="0.25">
      <c r="A95" s="36" t="s">
        <v>11</v>
      </c>
      <c r="B95" s="39">
        <v>0</v>
      </c>
      <c r="C95" s="39">
        <f>(B95)</f>
        <v>0</v>
      </c>
      <c r="D95" s="39">
        <f t="shared" si="72"/>
        <v>0</v>
      </c>
      <c r="E95" s="39">
        <f t="shared" si="73"/>
        <v>0</v>
      </c>
      <c r="F95" s="39">
        <f t="shared" si="74"/>
        <v>0</v>
      </c>
      <c r="G95" s="39">
        <f t="shared" si="75"/>
        <v>0</v>
      </c>
      <c r="H95" s="39">
        <f t="shared" si="76"/>
        <v>0</v>
      </c>
      <c r="I95" s="39">
        <f t="shared" si="77"/>
        <v>0</v>
      </c>
      <c r="J95" s="39">
        <f t="shared" si="78"/>
        <v>0</v>
      </c>
      <c r="K95" s="39">
        <f t="shared" si="79"/>
        <v>0</v>
      </c>
      <c r="L95" s="39">
        <f t="shared" si="80"/>
        <v>0</v>
      </c>
      <c r="M95" s="39">
        <f t="shared" si="81"/>
        <v>0</v>
      </c>
      <c r="N95" s="39">
        <f t="shared" si="82"/>
        <v>0</v>
      </c>
      <c r="O95" s="39">
        <f t="shared" si="83"/>
        <v>0</v>
      </c>
      <c r="P95" s="39">
        <f t="shared" si="84"/>
        <v>0</v>
      </c>
      <c r="Q95" s="39">
        <f t="shared" si="85"/>
        <v>0</v>
      </c>
      <c r="R95" s="39">
        <f t="shared" si="86"/>
        <v>0</v>
      </c>
      <c r="S95" s="39">
        <f t="shared" si="87"/>
        <v>0</v>
      </c>
      <c r="T95" s="39">
        <f t="shared" si="88"/>
        <v>0</v>
      </c>
      <c r="U95" s="39">
        <f t="shared" si="89"/>
        <v>0</v>
      </c>
      <c r="V95" s="39">
        <f t="shared" si="90"/>
        <v>0</v>
      </c>
      <c r="W95" s="39">
        <f t="shared" si="91"/>
        <v>0</v>
      </c>
      <c r="X95" s="39">
        <f t="shared" si="92"/>
        <v>0</v>
      </c>
      <c r="Y95" s="39">
        <f t="shared" si="93"/>
        <v>0</v>
      </c>
      <c r="Z95" s="39">
        <f t="shared" si="94"/>
        <v>0</v>
      </c>
      <c r="AA95" s="39">
        <f t="shared" si="95"/>
        <v>0</v>
      </c>
      <c r="AB95" s="39">
        <f t="shared" si="96"/>
        <v>0</v>
      </c>
      <c r="AC95" s="39">
        <f t="shared" si="97"/>
        <v>0</v>
      </c>
      <c r="AD95" s="39">
        <f t="shared" si="98"/>
        <v>0</v>
      </c>
      <c r="AE95" s="39">
        <f t="shared" si="99"/>
        <v>0</v>
      </c>
      <c r="AF95" s="39">
        <f t="shared" si="100"/>
        <v>0</v>
      </c>
      <c r="AG95" s="39">
        <f>SUM(B95:AF95)</f>
        <v>0</v>
      </c>
    </row>
    <row r="96" spans="1:33" s="34" customFormat="1" x14ac:dyDescent="0.25">
      <c r="A96" s="36" t="s">
        <v>119</v>
      </c>
      <c r="B96" s="65">
        <f>(B87*365)</f>
        <v>365000</v>
      </c>
      <c r="C96" s="65">
        <f t="shared" ref="C96:AF96" si="101">($B$96*C2)</f>
        <v>365000</v>
      </c>
      <c r="D96" s="65">
        <f t="shared" si="101"/>
        <v>730000</v>
      </c>
      <c r="E96" s="65">
        <f t="shared" si="101"/>
        <v>1095000</v>
      </c>
      <c r="F96" s="65">
        <f t="shared" si="101"/>
        <v>1460000</v>
      </c>
      <c r="G96" s="65">
        <f t="shared" si="101"/>
        <v>1825000</v>
      </c>
      <c r="H96" s="65">
        <f t="shared" si="101"/>
        <v>2190000</v>
      </c>
      <c r="I96" s="65">
        <f t="shared" si="101"/>
        <v>2555000</v>
      </c>
      <c r="J96" s="65">
        <f t="shared" si="101"/>
        <v>2920000</v>
      </c>
      <c r="K96" s="65">
        <f t="shared" si="101"/>
        <v>3285000</v>
      </c>
      <c r="L96" s="65">
        <f t="shared" si="101"/>
        <v>3650000</v>
      </c>
      <c r="M96" s="65">
        <f t="shared" si="101"/>
        <v>4015000</v>
      </c>
      <c r="N96" s="65">
        <f t="shared" si="101"/>
        <v>4380000</v>
      </c>
      <c r="O96" s="65">
        <f t="shared" si="101"/>
        <v>4745000</v>
      </c>
      <c r="P96" s="65">
        <f t="shared" si="101"/>
        <v>5110000</v>
      </c>
      <c r="Q96" s="65">
        <f t="shared" si="101"/>
        <v>5475000</v>
      </c>
      <c r="R96" s="65">
        <f t="shared" si="101"/>
        <v>5840000</v>
      </c>
      <c r="S96" s="65">
        <f t="shared" si="101"/>
        <v>6205000</v>
      </c>
      <c r="T96" s="65">
        <f t="shared" si="101"/>
        <v>6570000</v>
      </c>
      <c r="U96" s="65">
        <f t="shared" si="101"/>
        <v>6935000</v>
      </c>
      <c r="V96" s="65">
        <f t="shared" si="101"/>
        <v>7300000</v>
      </c>
      <c r="W96" s="65">
        <f t="shared" si="101"/>
        <v>7665000</v>
      </c>
      <c r="X96" s="65">
        <f t="shared" si="101"/>
        <v>8030000</v>
      </c>
      <c r="Y96" s="65">
        <f t="shared" si="101"/>
        <v>8395000</v>
      </c>
      <c r="Z96" s="65">
        <f t="shared" si="101"/>
        <v>8760000</v>
      </c>
      <c r="AA96" s="65">
        <f t="shared" si="101"/>
        <v>9125000</v>
      </c>
      <c r="AB96" s="65">
        <f t="shared" si="101"/>
        <v>9490000</v>
      </c>
      <c r="AC96" s="65">
        <f t="shared" si="101"/>
        <v>9855000</v>
      </c>
      <c r="AD96" s="65">
        <f t="shared" si="101"/>
        <v>10220000</v>
      </c>
      <c r="AE96" s="65">
        <f t="shared" si="101"/>
        <v>10585000</v>
      </c>
      <c r="AF96" s="65">
        <f t="shared" si="101"/>
        <v>10950000</v>
      </c>
      <c r="AG96" s="36"/>
    </row>
    <row r="97" spans="1:33" x14ac:dyDescent="0.25">
      <c r="A97" s="36" t="s">
        <v>124</v>
      </c>
      <c r="B97" s="39">
        <f t="shared" ref="B97:AF97" si="102">SUM(B90+B92+B94+B95)</f>
        <v>10595</v>
      </c>
      <c r="C97" s="39">
        <f t="shared" si="102"/>
        <v>0</v>
      </c>
      <c r="D97" s="39">
        <f t="shared" si="102"/>
        <v>0</v>
      </c>
      <c r="E97" s="39">
        <f t="shared" si="102"/>
        <v>0</v>
      </c>
      <c r="F97" s="39">
        <f t="shared" si="102"/>
        <v>0</v>
      </c>
      <c r="G97" s="39">
        <f t="shared" si="102"/>
        <v>0</v>
      </c>
      <c r="H97" s="39">
        <f t="shared" si="102"/>
        <v>0</v>
      </c>
      <c r="I97" s="39">
        <f t="shared" si="102"/>
        <v>0</v>
      </c>
      <c r="J97" s="39">
        <f t="shared" si="102"/>
        <v>0</v>
      </c>
      <c r="K97" s="39">
        <f t="shared" si="102"/>
        <v>0</v>
      </c>
      <c r="L97" s="39">
        <f t="shared" si="102"/>
        <v>0</v>
      </c>
      <c r="M97" s="39">
        <f t="shared" si="102"/>
        <v>0</v>
      </c>
      <c r="N97" s="39">
        <f t="shared" si="102"/>
        <v>0</v>
      </c>
      <c r="O97" s="39">
        <f t="shared" si="102"/>
        <v>0</v>
      </c>
      <c r="P97" s="39">
        <f t="shared" si="102"/>
        <v>0</v>
      </c>
      <c r="Q97" s="39">
        <f t="shared" si="102"/>
        <v>0</v>
      </c>
      <c r="R97" s="39">
        <f t="shared" si="102"/>
        <v>10540</v>
      </c>
      <c r="S97" s="39">
        <f t="shared" si="102"/>
        <v>0</v>
      </c>
      <c r="T97" s="39">
        <f t="shared" si="102"/>
        <v>0</v>
      </c>
      <c r="U97" s="39">
        <f t="shared" si="102"/>
        <v>0</v>
      </c>
      <c r="V97" s="39">
        <f t="shared" si="102"/>
        <v>0</v>
      </c>
      <c r="W97" s="39">
        <f t="shared" si="102"/>
        <v>0</v>
      </c>
      <c r="X97" s="39">
        <f t="shared" si="102"/>
        <v>0</v>
      </c>
      <c r="Y97" s="39">
        <f t="shared" si="102"/>
        <v>0</v>
      </c>
      <c r="Z97" s="39">
        <f t="shared" si="102"/>
        <v>0</v>
      </c>
      <c r="AA97" s="39">
        <f t="shared" si="102"/>
        <v>0</v>
      </c>
      <c r="AB97" s="39">
        <f t="shared" si="102"/>
        <v>0</v>
      </c>
      <c r="AC97" s="39">
        <f t="shared" si="102"/>
        <v>0</v>
      </c>
      <c r="AD97" s="39">
        <f t="shared" si="102"/>
        <v>0</v>
      </c>
      <c r="AE97" s="39">
        <f t="shared" si="102"/>
        <v>0</v>
      </c>
      <c r="AF97" s="39">
        <f t="shared" si="102"/>
        <v>0</v>
      </c>
      <c r="AG97" s="36"/>
    </row>
    <row r="98" spans="1:33" x14ac:dyDescent="0.25">
      <c r="A98" s="36" t="s">
        <v>125</v>
      </c>
      <c r="B98" s="39">
        <f>B97</f>
        <v>10595</v>
      </c>
      <c r="C98" s="39">
        <f>B98+C97</f>
        <v>10595</v>
      </c>
      <c r="D98" s="39">
        <f t="shared" ref="D98:AF98" si="103">C98+D97</f>
        <v>10595</v>
      </c>
      <c r="E98" s="39">
        <f t="shared" si="103"/>
        <v>10595</v>
      </c>
      <c r="F98" s="39">
        <f t="shared" si="103"/>
        <v>10595</v>
      </c>
      <c r="G98" s="39">
        <f t="shared" si="103"/>
        <v>10595</v>
      </c>
      <c r="H98" s="39">
        <f t="shared" si="103"/>
        <v>10595</v>
      </c>
      <c r="I98" s="39">
        <f t="shared" si="103"/>
        <v>10595</v>
      </c>
      <c r="J98" s="39">
        <f t="shared" si="103"/>
        <v>10595</v>
      </c>
      <c r="K98" s="39">
        <f t="shared" si="103"/>
        <v>10595</v>
      </c>
      <c r="L98" s="39">
        <f t="shared" si="103"/>
        <v>10595</v>
      </c>
      <c r="M98" s="39">
        <f t="shared" si="103"/>
        <v>10595</v>
      </c>
      <c r="N98" s="39">
        <f t="shared" si="103"/>
        <v>10595</v>
      </c>
      <c r="O98" s="39">
        <f t="shared" si="103"/>
        <v>10595</v>
      </c>
      <c r="P98" s="39">
        <f t="shared" si="103"/>
        <v>10595</v>
      </c>
      <c r="Q98" s="39">
        <f t="shared" si="103"/>
        <v>10595</v>
      </c>
      <c r="R98" s="39">
        <f t="shared" si="103"/>
        <v>21135</v>
      </c>
      <c r="S98" s="39">
        <f t="shared" si="103"/>
        <v>21135</v>
      </c>
      <c r="T98" s="39">
        <f t="shared" si="103"/>
        <v>21135</v>
      </c>
      <c r="U98" s="39">
        <f t="shared" si="103"/>
        <v>21135</v>
      </c>
      <c r="V98" s="39">
        <f t="shared" si="103"/>
        <v>21135</v>
      </c>
      <c r="W98" s="39">
        <f t="shared" si="103"/>
        <v>21135</v>
      </c>
      <c r="X98" s="39">
        <f t="shared" si="103"/>
        <v>21135</v>
      </c>
      <c r="Y98" s="39">
        <f t="shared" si="103"/>
        <v>21135</v>
      </c>
      <c r="Z98" s="39">
        <f t="shared" si="103"/>
        <v>21135</v>
      </c>
      <c r="AA98" s="39">
        <f t="shared" si="103"/>
        <v>21135</v>
      </c>
      <c r="AB98" s="39">
        <f t="shared" si="103"/>
        <v>21135</v>
      </c>
      <c r="AC98" s="39">
        <f t="shared" si="103"/>
        <v>21135</v>
      </c>
      <c r="AD98" s="39">
        <f t="shared" si="103"/>
        <v>21135</v>
      </c>
      <c r="AE98" s="39">
        <f t="shared" si="103"/>
        <v>21135</v>
      </c>
      <c r="AF98" s="39">
        <f t="shared" si="103"/>
        <v>21135</v>
      </c>
      <c r="AG98" s="36"/>
    </row>
    <row r="99" spans="1:33" x14ac:dyDescent="0.25">
      <c r="A99" s="36" t="s">
        <v>126</v>
      </c>
      <c r="B99" s="39">
        <f>SUM(AG90:AG95)</f>
        <v>21183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>
        <f>SUM(AG90:AG95)</f>
        <v>21183</v>
      </c>
    </row>
    <row r="100" spans="1:33" x14ac:dyDescent="0.25">
      <c r="A100" s="36" t="s">
        <v>127</v>
      </c>
      <c r="B100" s="39">
        <f>B98</f>
        <v>10595</v>
      </c>
      <c r="C100" s="39">
        <f t="shared" ref="C100:AF100" si="104">SUM(C98/C2)</f>
        <v>10595</v>
      </c>
      <c r="D100" s="39">
        <f t="shared" si="104"/>
        <v>5297.5</v>
      </c>
      <c r="E100" s="39">
        <f t="shared" si="104"/>
        <v>3531.6666666666665</v>
      </c>
      <c r="F100" s="39">
        <f t="shared" si="104"/>
        <v>2648.75</v>
      </c>
      <c r="G100" s="39">
        <f t="shared" si="104"/>
        <v>2119</v>
      </c>
      <c r="H100" s="39">
        <f t="shared" si="104"/>
        <v>1765.8333333333333</v>
      </c>
      <c r="I100" s="39">
        <f t="shared" si="104"/>
        <v>1513.5714285714287</v>
      </c>
      <c r="J100" s="39">
        <f t="shared" si="104"/>
        <v>1324.375</v>
      </c>
      <c r="K100" s="39">
        <f t="shared" si="104"/>
        <v>1177.2222222222222</v>
      </c>
      <c r="L100" s="39">
        <f t="shared" si="104"/>
        <v>1059.5</v>
      </c>
      <c r="M100" s="39">
        <f t="shared" si="104"/>
        <v>963.18181818181813</v>
      </c>
      <c r="N100" s="39">
        <f t="shared" si="104"/>
        <v>882.91666666666663</v>
      </c>
      <c r="O100" s="39">
        <f t="shared" si="104"/>
        <v>815</v>
      </c>
      <c r="P100" s="39">
        <f t="shared" si="104"/>
        <v>756.78571428571433</v>
      </c>
      <c r="Q100" s="39">
        <f t="shared" si="104"/>
        <v>706.33333333333337</v>
      </c>
      <c r="R100" s="39">
        <f t="shared" si="104"/>
        <v>1320.9375</v>
      </c>
      <c r="S100" s="39">
        <f t="shared" si="104"/>
        <v>1243.2352941176471</v>
      </c>
      <c r="T100" s="39">
        <f t="shared" si="104"/>
        <v>1174.1666666666667</v>
      </c>
      <c r="U100" s="39">
        <f t="shared" si="104"/>
        <v>1112.3684210526317</v>
      </c>
      <c r="V100" s="39">
        <f t="shared" si="104"/>
        <v>1056.75</v>
      </c>
      <c r="W100" s="39">
        <f t="shared" si="104"/>
        <v>1006.4285714285714</v>
      </c>
      <c r="X100" s="39">
        <f t="shared" si="104"/>
        <v>960.68181818181813</v>
      </c>
      <c r="Y100" s="39">
        <f t="shared" si="104"/>
        <v>918.91304347826087</v>
      </c>
      <c r="Z100" s="39">
        <f t="shared" si="104"/>
        <v>880.625</v>
      </c>
      <c r="AA100" s="39">
        <f t="shared" si="104"/>
        <v>845.4</v>
      </c>
      <c r="AB100" s="39">
        <f t="shared" si="104"/>
        <v>812.88461538461536</v>
      </c>
      <c r="AC100" s="39">
        <f t="shared" si="104"/>
        <v>782.77777777777783</v>
      </c>
      <c r="AD100" s="39">
        <f t="shared" si="104"/>
        <v>754.82142857142856</v>
      </c>
      <c r="AE100" s="39">
        <f t="shared" si="104"/>
        <v>728.79310344827582</v>
      </c>
      <c r="AF100" s="39">
        <f t="shared" si="104"/>
        <v>704.5</v>
      </c>
      <c r="AG100" s="39"/>
    </row>
    <row r="101" spans="1:33" s="74" customFormat="1" x14ac:dyDescent="0.25">
      <c r="A101" s="73" t="s">
        <v>108</v>
      </c>
      <c r="B101" s="73">
        <f>(B98/B96)</f>
        <v>2.9027397260273972E-2</v>
      </c>
      <c r="C101" s="73">
        <f t="shared" ref="C101:AF101" si="105">(C98/C96)</f>
        <v>2.9027397260273972E-2</v>
      </c>
      <c r="D101" s="73">
        <f t="shared" si="105"/>
        <v>1.4513698630136986E-2</v>
      </c>
      <c r="E101" s="73">
        <f t="shared" si="105"/>
        <v>9.6757990867579902E-3</v>
      </c>
      <c r="F101" s="73">
        <f t="shared" si="105"/>
        <v>7.2568493150684931E-3</v>
      </c>
      <c r="G101" s="73">
        <f t="shared" si="105"/>
        <v>5.8054794520547943E-3</v>
      </c>
      <c r="H101" s="73">
        <f t="shared" si="105"/>
        <v>4.8378995433789951E-3</v>
      </c>
      <c r="I101" s="73">
        <f t="shared" si="105"/>
        <v>4.1467710371819958E-3</v>
      </c>
      <c r="J101" s="73">
        <f t="shared" si="105"/>
        <v>3.6284246575342466E-3</v>
      </c>
      <c r="K101" s="73">
        <f t="shared" si="105"/>
        <v>3.2252663622526637E-3</v>
      </c>
      <c r="L101" s="73">
        <f t="shared" si="105"/>
        <v>2.9027397260273972E-3</v>
      </c>
      <c r="M101" s="73">
        <f t="shared" si="105"/>
        <v>2.638854296388543E-3</v>
      </c>
      <c r="N101" s="73">
        <f t="shared" si="105"/>
        <v>2.4189497716894976E-3</v>
      </c>
      <c r="O101" s="73">
        <f t="shared" si="105"/>
        <v>2.2328767123287671E-3</v>
      </c>
      <c r="P101" s="73">
        <f t="shared" si="105"/>
        <v>2.0733855185909979E-3</v>
      </c>
      <c r="Q101" s="73">
        <f t="shared" si="105"/>
        <v>1.9351598173515982E-3</v>
      </c>
      <c r="R101" s="73">
        <f t="shared" si="105"/>
        <v>3.6190068493150685E-3</v>
      </c>
      <c r="S101" s="73">
        <f t="shared" si="105"/>
        <v>3.4061240934730058E-3</v>
      </c>
      <c r="T101" s="73">
        <f t="shared" si="105"/>
        <v>3.2168949771689496E-3</v>
      </c>
      <c r="U101" s="73">
        <f t="shared" si="105"/>
        <v>3.0475847152126893E-3</v>
      </c>
      <c r="V101" s="73">
        <f t="shared" si="105"/>
        <v>2.895205479452055E-3</v>
      </c>
      <c r="W101" s="73">
        <f t="shared" si="105"/>
        <v>2.7573385518590999E-3</v>
      </c>
      <c r="X101" s="73">
        <f t="shared" si="105"/>
        <v>2.6320049813200498E-3</v>
      </c>
      <c r="Y101" s="73">
        <f t="shared" si="105"/>
        <v>2.5175699821322214E-3</v>
      </c>
      <c r="Z101" s="73">
        <f t="shared" si="105"/>
        <v>2.4126712328767122E-3</v>
      </c>
      <c r="AA101" s="73">
        <f t="shared" si="105"/>
        <v>2.3161643835616437E-3</v>
      </c>
      <c r="AB101" s="73">
        <f t="shared" si="105"/>
        <v>2.2270811380400422E-3</v>
      </c>
      <c r="AC101" s="73">
        <f t="shared" si="105"/>
        <v>2.1445966514459665E-3</v>
      </c>
      <c r="AD101" s="73">
        <f t="shared" si="105"/>
        <v>2.0680039138943249E-3</v>
      </c>
      <c r="AE101" s="73">
        <f t="shared" si="105"/>
        <v>1.9966934341048652E-3</v>
      </c>
      <c r="AF101" s="73">
        <f t="shared" si="105"/>
        <v>1.9301369863013698E-3</v>
      </c>
      <c r="AG101" s="73"/>
    </row>
    <row r="102" spans="1:33" x14ac:dyDescent="0.25">
      <c r="A102" s="36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6"/>
    </row>
    <row r="103" spans="1:33" x14ac:dyDescent="0.25">
      <c r="A103" s="35" t="s">
        <v>71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6"/>
    </row>
    <row r="104" spans="1:33" x14ac:dyDescent="0.25">
      <c r="A104" s="36" t="s">
        <v>139</v>
      </c>
      <c r="B104" s="40">
        <f>(B99/B89)</f>
        <v>21.183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7"/>
      <c r="AA104" s="36"/>
      <c r="AB104" s="36"/>
      <c r="AC104" s="36"/>
      <c r="AD104" s="36"/>
      <c r="AE104" s="36"/>
      <c r="AF104" s="36"/>
      <c r="AG104" s="36"/>
    </row>
    <row r="108" spans="1:33" x14ac:dyDescent="0.25">
      <c r="B108" s="5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0E9C1-C285-42B2-92E0-7DF8CBB3FDD4}">
  <dimension ref="A1:AG168"/>
  <sheetViews>
    <sheetView showGridLines="0" topLeftCell="K49" zoomScaleNormal="100" workbookViewId="0">
      <selection activeCell="A164" sqref="A164:B164"/>
    </sheetView>
  </sheetViews>
  <sheetFormatPr defaultRowHeight="15" x14ac:dyDescent="0.25"/>
  <cols>
    <col min="1" max="1" width="72.28515625" customWidth="1"/>
    <col min="2" max="2" width="9.42578125" customWidth="1"/>
    <col min="3" max="3" width="10.140625" bestFit="1" customWidth="1"/>
    <col min="6" max="6" width="9.5703125" customWidth="1"/>
    <col min="26" max="26" width="9.140625" style="6"/>
    <col min="34" max="34" width="37.5703125" customWidth="1"/>
  </cols>
  <sheetData>
    <row r="1" spans="1:33" ht="17.25" x14ac:dyDescent="0.3">
      <c r="A1" s="1"/>
      <c r="B1" s="1">
        <v>2018</v>
      </c>
      <c r="C1" s="1">
        <v>2019</v>
      </c>
      <c r="D1" s="1">
        <v>2020</v>
      </c>
      <c r="E1" s="1">
        <v>2021</v>
      </c>
      <c r="F1" s="1">
        <v>2022</v>
      </c>
      <c r="G1" s="1">
        <v>2023</v>
      </c>
      <c r="H1" s="1">
        <v>2024</v>
      </c>
      <c r="I1" s="1">
        <v>2025</v>
      </c>
      <c r="J1" s="1">
        <v>2026</v>
      </c>
      <c r="K1" s="1">
        <v>2027</v>
      </c>
      <c r="L1" s="1">
        <v>2028</v>
      </c>
      <c r="M1" s="1">
        <v>2029</v>
      </c>
      <c r="N1" s="1">
        <v>2030</v>
      </c>
      <c r="O1" s="1">
        <v>2031</v>
      </c>
      <c r="P1" s="1">
        <v>2032</v>
      </c>
      <c r="Q1" s="1">
        <v>2033</v>
      </c>
      <c r="R1" s="1">
        <v>2034</v>
      </c>
      <c r="S1" s="1">
        <v>2035</v>
      </c>
      <c r="T1" s="1">
        <v>2036</v>
      </c>
      <c r="U1" s="1">
        <v>2037</v>
      </c>
      <c r="V1" s="1">
        <v>2038</v>
      </c>
      <c r="W1" s="1">
        <v>2039</v>
      </c>
      <c r="X1" s="1">
        <v>2040</v>
      </c>
      <c r="Y1" s="1">
        <v>2041</v>
      </c>
      <c r="Z1" s="7">
        <v>2042</v>
      </c>
      <c r="AA1" s="1">
        <v>2043</v>
      </c>
      <c r="AB1" s="1">
        <v>2044</v>
      </c>
      <c r="AC1" s="1">
        <v>2045</v>
      </c>
      <c r="AD1" s="1">
        <v>2046</v>
      </c>
      <c r="AE1" s="1">
        <v>2047</v>
      </c>
      <c r="AF1" s="1">
        <v>2049</v>
      </c>
      <c r="AG1" s="1" t="s">
        <v>0</v>
      </c>
    </row>
    <row r="2" spans="1:33" ht="17.25" x14ac:dyDescent="0.3">
      <c r="A2" s="2" t="s">
        <v>1</v>
      </c>
      <c r="B2" s="1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7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/>
    </row>
    <row r="3" spans="1:33" x14ac:dyDescent="0.25">
      <c r="A3" s="8" t="s">
        <v>78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9"/>
      <c r="AB3" s="9"/>
      <c r="AC3" s="9"/>
      <c r="AD3" s="9"/>
      <c r="AE3" s="9"/>
      <c r="AF3" s="9"/>
      <c r="AG3" s="9"/>
    </row>
    <row r="4" spans="1:33" x14ac:dyDescent="0.25">
      <c r="A4" s="9" t="s">
        <v>16</v>
      </c>
      <c r="B4" s="9">
        <v>200</v>
      </c>
      <c r="C4" s="9">
        <f>(B4)</f>
        <v>200</v>
      </c>
      <c r="D4" s="9">
        <f t="shared" ref="D4:S5" si="0">(C4)</f>
        <v>200</v>
      </c>
      <c r="E4" s="9">
        <f t="shared" si="0"/>
        <v>200</v>
      </c>
      <c r="F4" s="9">
        <f t="shared" si="0"/>
        <v>200</v>
      </c>
      <c r="G4" s="9">
        <f t="shared" si="0"/>
        <v>200</v>
      </c>
      <c r="H4" s="9">
        <f t="shared" si="0"/>
        <v>200</v>
      </c>
      <c r="I4" s="9">
        <f t="shared" si="0"/>
        <v>200</v>
      </c>
      <c r="J4" s="9">
        <f t="shared" si="0"/>
        <v>200</v>
      </c>
      <c r="K4" s="9">
        <f t="shared" si="0"/>
        <v>200</v>
      </c>
      <c r="L4" s="9">
        <f t="shared" si="0"/>
        <v>200</v>
      </c>
      <c r="M4" s="9">
        <f t="shared" si="0"/>
        <v>200</v>
      </c>
      <c r="N4" s="9">
        <f t="shared" si="0"/>
        <v>200</v>
      </c>
      <c r="O4" s="9">
        <f t="shared" si="0"/>
        <v>200</v>
      </c>
      <c r="P4" s="9">
        <f t="shared" si="0"/>
        <v>200</v>
      </c>
      <c r="Q4" s="9">
        <f t="shared" si="0"/>
        <v>200</v>
      </c>
      <c r="R4" s="9">
        <f t="shared" si="0"/>
        <v>200</v>
      </c>
      <c r="S4" s="9">
        <f t="shared" si="0"/>
        <v>200</v>
      </c>
      <c r="T4" s="9">
        <f t="shared" ref="T4:AF5" si="1">(S4)</f>
        <v>200</v>
      </c>
      <c r="U4" s="9">
        <f t="shared" si="1"/>
        <v>200</v>
      </c>
      <c r="V4" s="9">
        <f t="shared" si="1"/>
        <v>200</v>
      </c>
      <c r="W4" s="9">
        <f t="shared" si="1"/>
        <v>200</v>
      </c>
      <c r="X4" s="9">
        <f t="shared" si="1"/>
        <v>200</v>
      </c>
      <c r="Y4" s="9">
        <f t="shared" si="1"/>
        <v>200</v>
      </c>
      <c r="Z4" s="9">
        <f t="shared" si="1"/>
        <v>200</v>
      </c>
      <c r="AA4" s="9">
        <f t="shared" si="1"/>
        <v>200</v>
      </c>
      <c r="AB4" s="9">
        <f t="shared" si="1"/>
        <v>200</v>
      </c>
      <c r="AC4" s="9">
        <f t="shared" si="1"/>
        <v>200</v>
      </c>
      <c r="AD4" s="9">
        <f t="shared" si="1"/>
        <v>200</v>
      </c>
      <c r="AE4" s="9">
        <f t="shared" si="1"/>
        <v>200</v>
      </c>
      <c r="AF4" s="9">
        <f t="shared" si="1"/>
        <v>200</v>
      </c>
      <c r="AG4" s="9"/>
    </row>
    <row r="5" spans="1:33" x14ac:dyDescent="0.25">
      <c r="A5" s="9" t="s">
        <v>47</v>
      </c>
      <c r="B5" s="9">
        <v>5</v>
      </c>
      <c r="C5" s="9">
        <f>(B5)</f>
        <v>5</v>
      </c>
      <c r="D5" s="9">
        <f t="shared" si="0"/>
        <v>5</v>
      </c>
      <c r="E5" s="9">
        <f t="shared" si="0"/>
        <v>5</v>
      </c>
      <c r="F5" s="9">
        <f t="shared" si="0"/>
        <v>5</v>
      </c>
      <c r="G5" s="9">
        <f t="shared" si="0"/>
        <v>5</v>
      </c>
      <c r="H5" s="9">
        <f t="shared" si="0"/>
        <v>5</v>
      </c>
      <c r="I5" s="9">
        <f t="shared" si="0"/>
        <v>5</v>
      </c>
      <c r="J5" s="9">
        <f t="shared" si="0"/>
        <v>5</v>
      </c>
      <c r="K5" s="9">
        <f t="shared" si="0"/>
        <v>5</v>
      </c>
      <c r="L5" s="9">
        <f t="shared" si="0"/>
        <v>5</v>
      </c>
      <c r="M5" s="9">
        <f t="shared" si="0"/>
        <v>5</v>
      </c>
      <c r="N5" s="9">
        <f t="shared" si="0"/>
        <v>5</v>
      </c>
      <c r="O5" s="9">
        <f t="shared" si="0"/>
        <v>5</v>
      </c>
      <c r="P5" s="9">
        <f t="shared" si="0"/>
        <v>5</v>
      </c>
      <c r="Q5" s="9">
        <f t="shared" si="0"/>
        <v>5</v>
      </c>
      <c r="R5" s="9">
        <f t="shared" si="0"/>
        <v>5</v>
      </c>
      <c r="S5" s="9">
        <f t="shared" si="0"/>
        <v>5</v>
      </c>
      <c r="T5" s="9">
        <f t="shared" si="1"/>
        <v>5</v>
      </c>
      <c r="U5" s="9">
        <f t="shared" si="1"/>
        <v>5</v>
      </c>
      <c r="V5" s="9">
        <f t="shared" si="1"/>
        <v>5</v>
      </c>
      <c r="W5" s="9">
        <f t="shared" si="1"/>
        <v>5</v>
      </c>
      <c r="X5" s="9">
        <f t="shared" si="1"/>
        <v>5</v>
      </c>
      <c r="Y5" s="9">
        <f t="shared" si="1"/>
        <v>5</v>
      </c>
      <c r="Z5" s="9">
        <f t="shared" si="1"/>
        <v>5</v>
      </c>
      <c r="AA5" s="9">
        <f t="shared" si="1"/>
        <v>5</v>
      </c>
      <c r="AB5" s="9">
        <f t="shared" si="1"/>
        <v>5</v>
      </c>
      <c r="AC5" s="9">
        <f t="shared" si="1"/>
        <v>5</v>
      </c>
      <c r="AD5" s="9">
        <f t="shared" si="1"/>
        <v>5</v>
      </c>
      <c r="AE5" s="9">
        <f t="shared" si="1"/>
        <v>5</v>
      </c>
      <c r="AF5" s="9">
        <f t="shared" si="1"/>
        <v>5</v>
      </c>
      <c r="AG5" s="9"/>
    </row>
    <row r="6" spans="1:33" x14ac:dyDescent="0.25">
      <c r="A6" s="9" t="s">
        <v>46</v>
      </c>
      <c r="B6" s="9">
        <v>6</v>
      </c>
      <c r="C6" s="9">
        <v>6</v>
      </c>
      <c r="D6" s="9">
        <v>6</v>
      </c>
      <c r="E6" s="9">
        <v>6</v>
      </c>
      <c r="F6" s="9">
        <v>6</v>
      </c>
      <c r="G6" s="9">
        <v>6</v>
      </c>
      <c r="H6" s="9">
        <v>6</v>
      </c>
      <c r="I6" s="9">
        <v>6</v>
      </c>
      <c r="J6" s="9">
        <v>6</v>
      </c>
      <c r="K6" s="9">
        <v>6</v>
      </c>
      <c r="L6" s="9">
        <v>6</v>
      </c>
      <c r="M6" s="9">
        <v>6</v>
      </c>
      <c r="N6" s="9">
        <v>6</v>
      </c>
      <c r="O6" s="9">
        <v>6</v>
      </c>
      <c r="P6" s="9">
        <v>6</v>
      </c>
      <c r="Q6" s="9">
        <v>6</v>
      </c>
      <c r="R6" s="9">
        <v>6</v>
      </c>
      <c r="S6" s="9">
        <v>6</v>
      </c>
      <c r="T6" s="9">
        <v>6</v>
      </c>
      <c r="U6" s="9">
        <v>6</v>
      </c>
      <c r="V6" s="9">
        <v>6</v>
      </c>
      <c r="W6" s="9">
        <v>6</v>
      </c>
      <c r="X6" s="9">
        <v>6</v>
      </c>
      <c r="Y6" s="9">
        <v>6</v>
      </c>
      <c r="Z6" s="9">
        <v>6</v>
      </c>
      <c r="AA6" s="9">
        <v>6</v>
      </c>
      <c r="AB6" s="9">
        <v>6</v>
      </c>
      <c r="AC6" s="9">
        <v>6</v>
      </c>
      <c r="AD6" s="9">
        <v>6</v>
      </c>
      <c r="AE6" s="9">
        <v>6</v>
      </c>
      <c r="AF6" s="9">
        <v>6</v>
      </c>
      <c r="AG6" s="9"/>
    </row>
    <row r="7" spans="1:33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x14ac:dyDescent="0.25">
      <c r="A8" s="8" t="s">
        <v>59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  <c r="AA8" s="9"/>
      <c r="AB8" s="9"/>
      <c r="AC8" s="9"/>
      <c r="AD8" s="9"/>
      <c r="AE8" s="9"/>
      <c r="AF8" s="9"/>
      <c r="AG8" s="9"/>
    </row>
    <row r="9" spans="1:33" x14ac:dyDescent="0.25">
      <c r="A9" s="9" t="s">
        <v>17</v>
      </c>
      <c r="B9" s="11">
        <f>ROUNDUP(SUM(B4/(6*B5)),0)</f>
        <v>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/>
    </row>
    <row r="10" spans="1:33" x14ac:dyDescent="0.25">
      <c r="A10" s="9" t="s">
        <v>15</v>
      </c>
      <c r="B10" s="12">
        <v>110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12"/>
    </row>
    <row r="11" spans="1:33" x14ac:dyDescent="0.25">
      <c r="A11" s="9" t="s">
        <v>18</v>
      </c>
      <c r="B11" s="12">
        <f>SUM(B9*B10)</f>
        <v>770</v>
      </c>
      <c r="C11" s="13">
        <f t="shared" ref="C11:AF11" si="2">SUM(C9*C10)</f>
        <v>0</v>
      </c>
      <c r="D11" s="13">
        <f t="shared" si="2"/>
        <v>0</v>
      </c>
      <c r="E11" s="13">
        <f t="shared" si="2"/>
        <v>0</v>
      </c>
      <c r="F11" s="13">
        <f t="shared" si="2"/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13">
        <f t="shared" si="2"/>
        <v>0</v>
      </c>
      <c r="S11" s="13">
        <f t="shared" si="2"/>
        <v>0</v>
      </c>
      <c r="T11" s="13">
        <f t="shared" si="2"/>
        <v>0</v>
      </c>
      <c r="U11" s="13">
        <f t="shared" si="2"/>
        <v>0</v>
      </c>
      <c r="V11" s="13">
        <f t="shared" si="2"/>
        <v>0</v>
      </c>
      <c r="W11" s="13">
        <f t="shared" si="2"/>
        <v>0</v>
      </c>
      <c r="X11" s="13">
        <f t="shared" si="2"/>
        <v>0</v>
      </c>
      <c r="Y11" s="13">
        <f t="shared" si="2"/>
        <v>0</v>
      </c>
      <c r="Z11" s="13">
        <f t="shared" si="2"/>
        <v>0</v>
      </c>
      <c r="AA11" s="13">
        <f t="shared" si="2"/>
        <v>0</v>
      </c>
      <c r="AB11" s="13">
        <f t="shared" si="2"/>
        <v>0</v>
      </c>
      <c r="AC11" s="13">
        <f t="shared" si="2"/>
        <v>0</v>
      </c>
      <c r="AD11" s="13">
        <f t="shared" si="2"/>
        <v>0</v>
      </c>
      <c r="AE11" s="13">
        <f t="shared" si="2"/>
        <v>0</v>
      </c>
      <c r="AF11" s="13">
        <f t="shared" si="2"/>
        <v>0</v>
      </c>
      <c r="AG11" s="12">
        <f t="shared" ref="AG11:AG12" si="3">SUM(B11:AF11)</f>
        <v>770</v>
      </c>
    </row>
    <row r="12" spans="1:33" x14ac:dyDescent="0.25">
      <c r="A12" s="9" t="s">
        <v>76</v>
      </c>
      <c r="B12" s="12">
        <v>135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2">
        <f t="shared" si="3"/>
        <v>135</v>
      </c>
    </row>
    <row r="13" spans="1:33" x14ac:dyDescent="0.25">
      <c r="A13" s="9" t="s">
        <v>19</v>
      </c>
      <c r="B13" s="9">
        <f>B9*6</f>
        <v>42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/>
    </row>
    <row r="14" spans="1:33" x14ac:dyDescent="0.25">
      <c r="A14" s="9" t="s">
        <v>20</v>
      </c>
      <c r="B14" s="12">
        <f>B13*0.3</f>
        <v>12.6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12">
        <f>SUM(B14:AF14)</f>
        <v>12.6</v>
      </c>
    </row>
    <row r="15" spans="1:33" x14ac:dyDescent="0.25">
      <c r="A15" s="9" t="s">
        <v>131</v>
      </c>
      <c r="B15" s="12">
        <f>SUM(6*12)</f>
        <v>72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12">
        <f>SUM(B15:AF15)</f>
        <v>72</v>
      </c>
    </row>
    <row r="16" spans="1:33" x14ac:dyDescent="0.25">
      <c r="A16" s="9" t="s">
        <v>21</v>
      </c>
      <c r="B16" s="12">
        <f>(0.15*12*12)</f>
        <v>21.599999999999998</v>
      </c>
      <c r="C16" s="12">
        <f>(B16)</f>
        <v>21.599999999999998</v>
      </c>
      <c r="D16" s="12">
        <f t="shared" ref="D16:S18" si="4">(C16)</f>
        <v>21.599999999999998</v>
      </c>
      <c r="E16" s="12">
        <f t="shared" si="4"/>
        <v>21.599999999999998</v>
      </c>
      <c r="F16" s="12">
        <f t="shared" si="4"/>
        <v>21.599999999999998</v>
      </c>
      <c r="G16" s="12">
        <f t="shared" si="4"/>
        <v>21.599999999999998</v>
      </c>
      <c r="H16" s="12">
        <f t="shared" si="4"/>
        <v>21.599999999999998</v>
      </c>
      <c r="I16" s="12">
        <f t="shared" si="4"/>
        <v>21.599999999999998</v>
      </c>
      <c r="J16" s="12">
        <f t="shared" si="4"/>
        <v>21.599999999999998</v>
      </c>
      <c r="K16" s="12">
        <f t="shared" si="4"/>
        <v>21.599999999999998</v>
      </c>
      <c r="L16" s="12">
        <f t="shared" si="4"/>
        <v>21.599999999999998</v>
      </c>
      <c r="M16" s="12">
        <f t="shared" si="4"/>
        <v>21.599999999999998</v>
      </c>
      <c r="N16" s="12">
        <f t="shared" si="4"/>
        <v>21.599999999999998</v>
      </c>
      <c r="O16" s="12">
        <f t="shared" si="4"/>
        <v>21.599999999999998</v>
      </c>
      <c r="P16" s="12">
        <f t="shared" si="4"/>
        <v>21.599999999999998</v>
      </c>
      <c r="Q16" s="12">
        <f t="shared" si="4"/>
        <v>21.599999999999998</v>
      </c>
      <c r="R16" s="12">
        <f t="shared" si="4"/>
        <v>21.599999999999998</v>
      </c>
      <c r="S16" s="12">
        <f t="shared" si="4"/>
        <v>21.599999999999998</v>
      </c>
      <c r="T16" s="12">
        <f t="shared" ref="T16:AF18" si="5">(S16)</f>
        <v>21.599999999999998</v>
      </c>
      <c r="U16" s="12">
        <f t="shared" si="5"/>
        <v>21.599999999999998</v>
      </c>
      <c r="V16" s="12">
        <f t="shared" si="5"/>
        <v>21.599999999999998</v>
      </c>
      <c r="W16" s="12">
        <f t="shared" si="5"/>
        <v>21.599999999999998</v>
      </c>
      <c r="X16" s="12">
        <f t="shared" si="5"/>
        <v>21.599999999999998</v>
      </c>
      <c r="Y16" s="12">
        <f t="shared" si="5"/>
        <v>21.599999999999998</v>
      </c>
      <c r="Z16" s="12">
        <f t="shared" si="5"/>
        <v>21.599999999999998</v>
      </c>
      <c r="AA16" s="12">
        <f t="shared" si="5"/>
        <v>21.599999999999998</v>
      </c>
      <c r="AB16" s="12">
        <f t="shared" si="5"/>
        <v>21.599999999999998</v>
      </c>
      <c r="AC16" s="12">
        <f t="shared" si="5"/>
        <v>21.599999999999998</v>
      </c>
      <c r="AD16" s="12">
        <f t="shared" si="5"/>
        <v>21.599999999999998</v>
      </c>
      <c r="AE16" s="12">
        <f t="shared" si="5"/>
        <v>21.599999999999998</v>
      </c>
      <c r="AF16" s="12">
        <f t="shared" si="5"/>
        <v>21.599999999999998</v>
      </c>
      <c r="AG16" s="12">
        <f t="shared" ref="AG16" si="6">SUM(B16:AF16)</f>
        <v>669.60000000000036</v>
      </c>
    </row>
    <row r="17" spans="1:33" x14ac:dyDescent="0.25">
      <c r="A17" s="9" t="s">
        <v>48</v>
      </c>
      <c r="B17" s="13">
        <f>(B9*6.1)</f>
        <v>42.699999999999996</v>
      </c>
      <c r="C17" s="13">
        <f>(B17)</f>
        <v>42.699999999999996</v>
      </c>
      <c r="D17" s="13">
        <f t="shared" si="4"/>
        <v>42.699999999999996</v>
      </c>
      <c r="E17" s="13">
        <f t="shared" si="4"/>
        <v>42.699999999999996</v>
      </c>
      <c r="F17" s="13">
        <f t="shared" si="4"/>
        <v>42.699999999999996</v>
      </c>
      <c r="G17" s="13">
        <f t="shared" si="4"/>
        <v>42.699999999999996</v>
      </c>
      <c r="H17" s="13">
        <f t="shared" si="4"/>
        <v>42.699999999999996</v>
      </c>
      <c r="I17" s="13">
        <f t="shared" si="4"/>
        <v>42.699999999999996</v>
      </c>
      <c r="J17" s="13">
        <f t="shared" si="4"/>
        <v>42.699999999999996</v>
      </c>
      <c r="K17" s="13">
        <f t="shared" si="4"/>
        <v>42.699999999999996</v>
      </c>
      <c r="L17" s="13">
        <f t="shared" si="4"/>
        <v>42.699999999999996</v>
      </c>
      <c r="M17" s="13">
        <f t="shared" si="4"/>
        <v>42.699999999999996</v>
      </c>
      <c r="N17" s="13">
        <f t="shared" si="4"/>
        <v>42.699999999999996</v>
      </c>
      <c r="O17" s="13">
        <f t="shared" si="4"/>
        <v>42.699999999999996</v>
      </c>
      <c r="P17" s="13">
        <f t="shared" si="4"/>
        <v>42.699999999999996</v>
      </c>
      <c r="Q17" s="13">
        <f t="shared" si="4"/>
        <v>42.699999999999996</v>
      </c>
      <c r="R17" s="13">
        <f t="shared" si="4"/>
        <v>42.699999999999996</v>
      </c>
      <c r="S17" s="13">
        <f t="shared" si="4"/>
        <v>42.699999999999996</v>
      </c>
      <c r="T17" s="13">
        <f t="shared" si="5"/>
        <v>42.699999999999996</v>
      </c>
      <c r="U17" s="13">
        <f t="shared" si="5"/>
        <v>42.699999999999996</v>
      </c>
      <c r="V17" s="13">
        <f t="shared" si="5"/>
        <v>42.699999999999996</v>
      </c>
      <c r="W17" s="13">
        <f t="shared" si="5"/>
        <v>42.699999999999996</v>
      </c>
      <c r="X17" s="13">
        <f t="shared" si="5"/>
        <v>42.699999999999996</v>
      </c>
      <c r="Y17" s="13">
        <f t="shared" si="5"/>
        <v>42.699999999999996</v>
      </c>
      <c r="Z17" s="13">
        <f t="shared" si="5"/>
        <v>42.699999999999996</v>
      </c>
      <c r="AA17" s="13">
        <f t="shared" si="5"/>
        <v>42.699999999999996</v>
      </c>
      <c r="AB17" s="13">
        <f t="shared" si="5"/>
        <v>42.699999999999996</v>
      </c>
      <c r="AC17" s="13">
        <f t="shared" si="5"/>
        <v>42.699999999999996</v>
      </c>
      <c r="AD17" s="13">
        <f t="shared" si="5"/>
        <v>42.699999999999996</v>
      </c>
      <c r="AE17" s="13">
        <f t="shared" si="5"/>
        <v>42.699999999999996</v>
      </c>
      <c r="AF17" s="13">
        <f t="shared" si="5"/>
        <v>42.699999999999996</v>
      </c>
      <c r="AG17" s="12"/>
    </row>
    <row r="18" spans="1:33" x14ac:dyDescent="0.25">
      <c r="A18" s="9" t="s">
        <v>106</v>
      </c>
      <c r="B18" s="13">
        <f>(B17*B5)</f>
        <v>213.49999999999997</v>
      </c>
      <c r="C18" s="13">
        <f>(B18)</f>
        <v>213.49999999999997</v>
      </c>
      <c r="D18" s="13">
        <f t="shared" si="4"/>
        <v>213.49999999999997</v>
      </c>
      <c r="E18" s="13">
        <f t="shared" si="4"/>
        <v>213.49999999999997</v>
      </c>
      <c r="F18" s="13">
        <f t="shared" si="4"/>
        <v>213.49999999999997</v>
      </c>
      <c r="G18" s="13">
        <f t="shared" si="4"/>
        <v>213.49999999999997</v>
      </c>
      <c r="H18" s="13">
        <f t="shared" si="4"/>
        <v>213.49999999999997</v>
      </c>
      <c r="I18" s="13">
        <f t="shared" si="4"/>
        <v>213.49999999999997</v>
      </c>
      <c r="J18" s="13">
        <f t="shared" si="4"/>
        <v>213.49999999999997</v>
      </c>
      <c r="K18" s="13">
        <f t="shared" si="4"/>
        <v>213.49999999999997</v>
      </c>
      <c r="L18" s="13">
        <f t="shared" si="4"/>
        <v>213.49999999999997</v>
      </c>
      <c r="M18" s="13">
        <f t="shared" si="4"/>
        <v>213.49999999999997</v>
      </c>
      <c r="N18" s="13">
        <f t="shared" si="4"/>
        <v>213.49999999999997</v>
      </c>
      <c r="O18" s="13">
        <f t="shared" si="4"/>
        <v>213.49999999999997</v>
      </c>
      <c r="P18" s="13">
        <f t="shared" si="4"/>
        <v>213.49999999999997</v>
      </c>
      <c r="Q18" s="13">
        <f t="shared" si="4"/>
        <v>213.49999999999997</v>
      </c>
      <c r="R18" s="13">
        <f t="shared" si="4"/>
        <v>213.49999999999997</v>
      </c>
      <c r="S18" s="13">
        <f t="shared" si="4"/>
        <v>213.49999999999997</v>
      </c>
      <c r="T18" s="13">
        <f t="shared" si="5"/>
        <v>213.49999999999997</v>
      </c>
      <c r="U18" s="13">
        <f t="shared" si="5"/>
        <v>213.49999999999997</v>
      </c>
      <c r="V18" s="13">
        <f t="shared" si="5"/>
        <v>213.49999999999997</v>
      </c>
      <c r="W18" s="13">
        <f t="shared" si="5"/>
        <v>213.49999999999997</v>
      </c>
      <c r="X18" s="13">
        <f t="shared" si="5"/>
        <v>213.49999999999997</v>
      </c>
      <c r="Y18" s="13">
        <f t="shared" si="5"/>
        <v>213.49999999999997</v>
      </c>
      <c r="Z18" s="13">
        <f t="shared" si="5"/>
        <v>213.49999999999997</v>
      </c>
      <c r="AA18" s="13">
        <f t="shared" si="5"/>
        <v>213.49999999999997</v>
      </c>
      <c r="AB18" s="13">
        <f t="shared" si="5"/>
        <v>213.49999999999997</v>
      </c>
      <c r="AC18" s="13">
        <f t="shared" si="5"/>
        <v>213.49999999999997</v>
      </c>
      <c r="AD18" s="13">
        <f t="shared" si="5"/>
        <v>213.49999999999997</v>
      </c>
      <c r="AE18" s="13">
        <f t="shared" si="5"/>
        <v>213.49999999999997</v>
      </c>
      <c r="AF18" s="13">
        <f t="shared" si="5"/>
        <v>213.49999999999997</v>
      </c>
      <c r="AG18" s="9"/>
    </row>
    <row r="19" spans="1:33" x14ac:dyDescent="0.25">
      <c r="A19" s="9" t="s">
        <v>107</v>
      </c>
      <c r="B19" s="13">
        <f>SUM(B18*365)</f>
        <v>77927.499999999985</v>
      </c>
      <c r="C19" s="13">
        <f>($B$19*C2)</f>
        <v>77927.499999999985</v>
      </c>
      <c r="D19" s="13">
        <f t="shared" ref="D19:AF19" si="7">($B$19*D2)</f>
        <v>155854.99999999997</v>
      </c>
      <c r="E19" s="13">
        <f t="shared" si="7"/>
        <v>233782.49999999994</v>
      </c>
      <c r="F19" s="13">
        <f t="shared" si="7"/>
        <v>311709.99999999994</v>
      </c>
      <c r="G19" s="13">
        <f t="shared" si="7"/>
        <v>389637.49999999994</v>
      </c>
      <c r="H19" s="13">
        <f t="shared" si="7"/>
        <v>467564.99999999988</v>
      </c>
      <c r="I19" s="13">
        <f t="shared" si="7"/>
        <v>545492.49999999988</v>
      </c>
      <c r="J19" s="13">
        <f t="shared" si="7"/>
        <v>623419.99999999988</v>
      </c>
      <c r="K19" s="13">
        <f t="shared" si="7"/>
        <v>701347.49999999988</v>
      </c>
      <c r="L19" s="13">
        <f t="shared" si="7"/>
        <v>779274.99999999988</v>
      </c>
      <c r="M19" s="13">
        <f t="shared" si="7"/>
        <v>857202.49999999988</v>
      </c>
      <c r="N19" s="13">
        <f t="shared" si="7"/>
        <v>935129.99999999977</v>
      </c>
      <c r="O19" s="13">
        <f t="shared" si="7"/>
        <v>1013057.4999999998</v>
      </c>
      <c r="P19" s="13">
        <f t="shared" si="7"/>
        <v>1090984.9999999998</v>
      </c>
      <c r="Q19" s="13">
        <f t="shared" si="7"/>
        <v>1168912.4999999998</v>
      </c>
      <c r="R19" s="13">
        <f t="shared" si="7"/>
        <v>1246839.9999999998</v>
      </c>
      <c r="S19" s="13">
        <f t="shared" si="7"/>
        <v>1324767.4999999998</v>
      </c>
      <c r="T19" s="13">
        <f t="shared" si="7"/>
        <v>1402694.9999999998</v>
      </c>
      <c r="U19" s="13">
        <f t="shared" si="7"/>
        <v>1480622.4999999998</v>
      </c>
      <c r="V19" s="13">
        <f t="shared" si="7"/>
        <v>1558549.9999999998</v>
      </c>
      <c r="W19" s="13">
        <f t="shared" si="7"/>
        <v>1636477.4999999998</v>
      </c>
      <c r="X19" s="13">
        <f t="shared" si="7"/>
        <v>1714404.9999999998</v>
      </c>
      <c r="Y19" s="13">
        <f t="shared" si="7"/>
        <v>1792332.4999999998</v>
      </c>
      <c r="Z19" s="13">
        <f t="shared" si="7"/>
        <v>1870259.9999999995</v>
      </c>
      <c r="AA19" s="13">
        <f t="shared" si="7"/>
        <v>1948187.4999999995</v>
      </c>
      <c r="AB19" s="13">
        <f t="shared" si="7"/>
        <v>2026114.9999999995</v>
      </c>
      <c r="AC19" s="13">
        <f t="shared" si="7"/>
        <v>2104042.4999999995</v>
      </c>
      <c r="AD19" s="13">
        <f t="shared" si="7"/>
        <v>2181969.9999999995</v>
      </c>
      <c r="AE19" s="13">
        <f t="shared" si="7"/>
        <v>2259897.4999999995</v>
      </c>
      <c r="AF19" s="13">
        <f t="shared" si="7"/>
        <v>2337824.9999999995</v>
      </c>
      <c r="AG19" s="9"/>
    </row>
    <row r="20" spans="1:33" x14ac:dyDescent="0.25">
      <c r="A20" s="9" t="s">
        <v>89</v>
      </c>
      <c r="B20" s="12">
        <f>SUM(B11+B12+B14+B16)</f>
        <v>939.2</v>
      </c>
      <c r="C20" s="12">
        <f t="shared" ref="C20:AF20" si="8">SUM(C10+C11+C12+C14+C16)</f>
        <v>21.599999999999998</v>
      </c>
      <c r="D20" s="12">
        <f t="shared" si="8"/>
        <v>21.599999999999998</v>
      </c>
      <c r="E20" s="12">
        <f t="shared" si="8"/>
        <v>21.599999999999998</v>
      </c>
      <c r="F20" s="12">
        <f t="shared" si="8"/>
        <v>21.599999999999998</v>
      </c>
      <c r="G20" s="12">
        <f t="shared" si="8"/>
        <v>21.599999999999998</v>
      </c>
      <c r="H20" s="12">
        <f t="shared" si="8"/>
        <v>21.599999999999998</v>
      </c>
      <c r="I20" s="12">
        <f t="shared" si="8"/>
        <v>21.599999999999998</v>
      </c>
      <c r="J20" s="12">
        <f t="shared" si="8"/>
        <v>21.599999999999998</v>
      </c>
      <c r="K20" s="12">
        <f t="shared" si="8"/>
        <v>21.599999999999998</v>
      </c>
      <c r="L20" s="12">
        <f t="shared" si="8"/>
        <v>21.599999999999998</v>
      </c>
      <c r="M20" s="12">
        <f t="shared" si="8"/>
        <v>21.599999999999998</v>
      </c>
      <c r="N20" s="12">
        <f t="shared" si="8"/>
        <v>21.599999999999998</v>
      </c>
      <c r="O20" s="12">
        <f t="shared" si="8"/>
        <v>21.599999999999998</v>
      </c>
      <c r="P20" s="12">
        <f t="shared" si="8"/>
        <v>21.599999999999998</v>
      </c>
      <c r="Q20" s="12">
        <f t="shared" si="8"/>
        <v>21.599999999999998</v>
      </c>
      <c r="R20" s="12">
        <f t="shared" si="8"/>
        <v>21.599999999999998</v>
      </c>
      <c r="S20" s="12">
        <f t="shared" si="8"/>
        <v>21.599999999999998</v>
      </c>
      <c r="T20" s="12">
        <f t="shared" si="8"/>
        <v>21.599999999999998</v>
      </c>
      <c r="U20" s="12">
        <f t="shared" si="8"/>
        <v>21.599999999999998</v>
      </c>
      <c r="V20" s="12">
        <f t="shared" si="8"/>
        <v>21.599999999999998</v>
      </c>
      <c r="W20" s="12">
        <f t="shared" si="8"/>
        <v>21.599999999999998</v>
      </c>
      <c r="X20" s="12">
        <f t="shared" si="8"/>
        <v>21.599999999999998</v>
      </c>
      <c r="Y20" s="12">
        <f t="shared" si="8"/>
        <v>21.599999999999998</v>
      </c>
      <c r="Z20" s="12">
        <f t="shared" si="8"/>
        <v>21.599999999999998</v>
      </c>
      <c r="AA20" s="12">
        <f t="shared" si="8"/>
        <v>21.599999999999998</v>
      </c>
      <c r="AB20" s="12">
        <f t="shared" si="8"/>
        <v>21.599999999999998</v>
      </c>
      <c r="AC20" s="12">
        <f t="shared" si="8"/>
        <v>21.599999999999998</v>
      </c>
      <c r="AD20" s="12">
        <f t="shared" si="8"/>
        <v>21.599999999999998</v>
      </c>
      <c r="AE20" s="12">
        <f t="shared" si="8"/>
        <v>21.599999999999998</v>
      </c>
      <c r="AF20" s="12">
        <f t="shared" si="8"/>
        <v>21.599999999999998</v>
      </c>
      <c r="AG20" s="9"/>
    </row>
    <row r="21" spans="1:33" x14ac:dyDescent="0.25">
      <c r="A21" s="9" t="s">
        <v>117</v>
      </c>
      <c r="B21" s="12">
        <f>B20</f>
        <v>939.2</v>
      </c>
      <c r="C21" s="12">
        <f>B21+C20</f>
        <v>960.80000000000007</v>
      </c>
      <c r="D21" s="12">
        <f t="shared" ref="D21:AF21" si="9">C21+D20</f>
        <v>982.40000000000009</v>
      </c>
      <c r="E21" s="12">
        <f t="shared" si="9"/>
        <v>1004.0000000000001</v>
      </c>
      <c r="F21" s="12">
        <f t="shared" si="9"/>
        <v>1025.6000000000001</v>
      </c>
      <c r="G21" s="12">
        <f t="shared" si="9"/>
        <v>1047.2</v>
      </c>
      <c r="H21" s="12">
        <f t="shared" si="9"/>
        <v>1068.8</v>
      </c>
      <c r="I21" s="12">
        <f t="shared" si="9"/>
        <v>1090.3999999999999</v>
      </c>
      <c r="J21" s="12">
        <f t="shared" si="9"/>
        <v>1111.9999999999998</v>
      </c>
      <c r="K21" s="12">
        <f t="shared" si="9"/>
        <v>1133.5999999999997</v>
      </c>
      <c r="L21" s="12">
        <f t="shared" si="9"/>
        <v>1155.1999999999996</v>
      </c>
      <c r="M21" s="12">
        <f t="shared" si="9"/>
        <v>1176.7999999999995</v>
      </c>
      <c r="N21" s="12">
        <f t="shared" si="9"/>
        <v>1198.3999999999994</v>
      </c>
      <c r="O21" s="12">
        <f t="shared" si="9"/>
        <v>1219.9999999999993</v>
      </c>
      <c r="P21" s="12">
        <f t="shared" si="9"/>
        <v>1241.5999999999992</v>
      </c>
      <c r="Q21" s="12">
        <f t="shared" si="9"/>
        <v>1263.1999999999991</v>
      </c>
      <c r="R21" s="12">
        <f t="shared" si="9"/>
        <v>1284.799999999999</v>
      </c>
      <c r="S21" s="12">
        <f t="shared" si="9"/>
        <v>1306.399999999999</v>
      </c>
      <c r="T21" s="12">
        <f t="shared" si="9"/>
        <v>1327.9999999999989</v>
      </c>
      <c r="U21" s="12">
        <f t="shared" si="9"/>
        <v>1349.5999999999988</v>
      </c>
      <c r="V21" s="12">
        <f t="shared" si="9"/>
        <v>1371.1999999999987</v>
      </c>
      <c r="W21" s="12">
        <f t="shared" si="9"/>
        <v>1392.7999999999986</v>
      </c>
      <c r="X21" s="12">
        <f t="shared" si="9"/>
        <v>1414.3999999999985</v>
      </c>
      <c r="Y21" s="12">
        <f t="shared" si="9"/>
        <v>1435.9999999999984</v>
      </c>
      <c r="Z21" s="12">
        <f t="shared" si="9"/>
        <v>1457.5999999999983</v>
      </c>
      <c r="AA21" s="12">
        <f t="shared" si="9"/>
        <v>1479.1999999999982</v>
      </c>
      <c r="AB21" s="12">
        <f t="shared" si="9"/>
        <v>1500.7999999999981</v>
      </c>
      <c r="AC21" s="12">
        <f t="shared" si="9"/>
        <v>1522.399999999998</v>
      </c>
      <c r="AD21" s="12">
        <f t="shared" si="9"/>
        <v>1543.999999999998</v>
      </c>
      <c r="AE21" s="12">
        <f t="shared" si="9"/>
        <v>1565.5999999999979</v>
      </c>
      <c r="AF21" s="12">
        <f t="shared" si="9"/>
        <v>1587.1999999999978</v>
      </c>
      <c r="AG21" s="9"/>
    </row>
    <row r="22" spans="1:33" x14ac:dyDescent="0.25">
      <c r="A22" s="9" t="s">
        <v>87</v>
      </c>
      <c r="B22" s="12">
        <f>SUM(AG10:AG16)</f>
        <v>1659.2000000000003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>
        <f>SUM(AG11:AG16)</f>
        <v>1659.2000000000003</v>
      </c>
    </row>
    <row r="23" spans="1:33" x14ac:dyDescent="0.25">
      <c r="A23" s="9" t="s">
        <v>118</v>
      </c>
      <c r="B23" s="12">
        <f>B20</f>
        <v>939.2</v>
      </c>
      <c r="C23" s="12">
        <f>SUM(C21/C2)</f>
        <v>960.80000000000007</v>
      </c>
      <c r="D23" s="12">
        <f t="shared" ref="D23:AF23" si="10">SUM(D21/D2)</f>
        <v>491.20000000000005</v>
      </c>
      <c r="E23" s="12">
        <f t="shared" si="10"/>
        <v>334.66666666666669</v>
      </c>
      <c r="F23" s="12">
        <f t="shared" si="10"/>
        <v>256.40000000000003</v>
      </c>
      <c r="G23" s="12">
        <f t="shared" si="10"/>
        <v>209.44</v>
      </c>
      <c r="H23" s="12">
        <f t="shared" si="10"/>
        <v>178.13333333333333</v>
      </c>
      <c r="I23" s="12">
        <f t="shared" si="10"/>
        <v>155.77142857142854</v>
      </c>
      <c r="J23" s="12">
        <f t="shared" si="10"/>
        <v>138.99999999999997</v>
      </c>
      <c r="K23" s="12">
        <f t="shared" si="10"/>
        <v>125.95555555555552</v>
      </c>
      <c r="L23" s="12">
        <f t="shared" si="10"/>
        <v>115.51999999999995</v>
      </c>
      <c r="M23" s="12">
        <f t="shared" si="10"/>
        <v>106.98181818181814</v>
      </c>
      <c r="N23" s="12">
        <f t="shared" si="10"/>
        <v>99.866666666666617</v>
      </c>
      <c r="O23" s="12">
        <f t="shared" si="10"/>
        <v>93.846153846153797</v>
      </c>
      <c r="P23" s="12">
        <f t="shared" si="10"/>
        <v>88.685714285714226</v>
      </c>
      <c r="Q23" s="12">
        <f t="shared" si="10"/>
        <v>84.213333333333281</v>
      </c>
      <c r="R23" s="12">
        <f t="shared" si="10"/>
        <v>80.29999999999994</v>
      </c>
      <c r="S23" s="12">
        <f t="shared" si="10"/>
        <v>76.847058823529352</v>
      </c>
      <c r="T23" s="12">
        <f t="shared" si="10"/>
        <v>73.777777777777715</v>
      </c>
      <c r="U23" s="12">
        <f t="shared" si="10"/>
        <v>71.031578947368359</v>
      </c>
      <c r="V23" s="12">
        <f t="shared" si="10"/>
        <v>68.559999999999931</v>
      </c>
      <c r="W23" s="12">
        <f t="shared" si="10"/>
        <v>66.323809523809459</v>
      </c>
      <c r="X23" s="12">
        <f t="shared" si="10"/>
        <v>64.290909090909025</v>
      </c>
      <c r="Y23" s="12">
        <f t="shared" si="10"/>
        <v>62.434782608695585</v>
      </c>
      <c r="Z23" s="12">
        <f t="shared" si="10"/>
        <v>60.733333333333263</v>
      </c>
      <c r="AA23" s="12">
        <f t="shared" si="10"/>
        <v>59.167999999999928</v>
      </c>
      <c r="AB23" s="12">
        <f t="shared" si="10"/>
        <v>57.723076923076853</v>
      </c>
      <c r="AC23" s="12">
        <f t="shared" si="10"/>
        <v>56.385185185185115</v>
      </c>
      <c r="AD23" s="12">
        <f t="shared" si="10"/>
        <v>55.142857142857068</v>
      </c>
      <c r="AE23" s="12">
        <f t="shared" si="10"/>
        <v>53.98620689655165</v>
      </c>
      <c r="AF23" s="12">
        <f t="shared" si="10"/>
        <v>52.906666666666595</v>
      </c>
      <c r="AG23" s="12"/>
    </row>
    <row r="24" spans="1:33" s="69" customFormat="1" x14ac:dyDescent="0.25">
      <c r="A24" s="68" t="s">
        <v>108</v>
      </c>
      <c r="B24" s="68">
        <f>(B21/B19)</f>
        <v>1.2052228032466077E-2</v>
      </c>
      <c r="C24" s="68">
        <f t="shared" ref="C24:AF24" si="11">(C21/C19)</f>
        <v>1.2329408745308142E-2</v>
      </c>
      <c r="D24" s="68">
        <f t="shared" si="11"/>
        <v>6.3032947290751033E-3</v>
      </c>
      <c r="E24" s="68">
        <f t="shared" si="11"/>
        <v>4.2945900569974242E-3</v>
      </c>
      <c r="F24" s="68">
        <f t="shared" si="11"/>
        <v>3.2902377209585842E-3</v>
      </c>
      <c r="G24" s="68">
        <f t="shared" si="11"/>
        <v>2.6876263193352803E-3</v>
      </c>
      <c r="H24" s="68">
        <f t="shared" si="11"/>
        <v>2.2858853849197442E-3</v>
      </c>
      <c r="I24" s="68">
        <f t="shared" si="11"/>
        <v>1.9989275746229327E-3</v>
      </c>
      <c r="J24" s="68">
        <f t="shared" si="11"/>
        <v>1.7837092169003239E-3</v>
      </c>
      <c r="K24" s="68">
        <f t="shared" si="11"/>
        <v>1.6163171608938507E-3</v>
      </c>
      <c r="L24" s="68">
        <f t="shared" si="11"/>
        <v>1.4824035160886718E-3</v>
      </c>
      <c r="M24" s="68">
        <f t="shared" si="11"/>
        <v>1.3728378067026166E-3</v>
      </c>
      <c r="N24" s="68">
        <f t="shared" si="11"/>
        <v>1.2815330488809039E-3</v>
      </c>
      <c r="O24" s="68">
        <f t="shared" si="11"/>
        <v>1.2042751768779163E-3</v>
      </c>
      <c r="P24" s="68">
        <f t="shared" si="11"/>
        <v>1.1380541437324982E-3</v>
      </c>
      <c r="Q24" s="68">
        <f t="shared" si="11"/>
        <v>1.0806625816731359E-3</v>
      </c>
      <c r="R24" s="68">
        <f t="shared" si="11"/>
        <v>1.0304449648711937E-3</v>
      </c>
      <c r="S24" s="68">
        <f t="shared" si="11"/>
        <v>9.8613530298712732E-4</v>
      </c>
      <c r="T24" s="68">
        <f t="shared" si="11"/>
        <v>9.467489368679571E-4</v>
      </c>
      <c r="U24" s="68">
        <f t="shared" si="11"/>
        <v>9.1150850402448903E-4</v>
      </c>
      <c r="V24" s="68">
        <f t="shared" si="11"/>
        <v>8.7979211446536775E-4</v>
      </c>
      <c r="W24" s="68">
        <f t="shared" si="11"/>
        <v>8.5109633343568658E-4</v>
      </c>
      <c r="X24" s="68">
        <f t="shared" si="11"/>
        <v>8.2500925977234006E-4</v>
      </c>
      <c r="Y24" s="68">
        <f t="shared" si="11"/>
        <v>8.0119062729711065E-4</v>
      </c>
      <c r="Z24" s="68">
        <f t="shared" si="11"/>
        <v>7.7935688086148383E-4</v>
      </c>
      <c r="AA24" s="68">
        <f t="shared" si="11"/>
        <v>7.5926983414070694E-4</v>
      </c>
      <c r="AB24" s="68">
        <f t="shared" si="11"/>
        <v>7.4072794485998989E-4</v>
      </c>
      <c r="AC24" s="68">
        <f t="shared" si="11"/>
        <v>7.2355952885932594E-4</v>
      </c>
      <c r="AD24" s="68">
        <f t="shared" si="11"/>
        <v>7.0761742828728087E-4</v>
      </c>
      <c r="AE24" s="68">
        <f t="shared" si="11"/>
        <v>6.9277478292710103E-4</v>
      </c>
      <c r="AF24" s="68">
        <f t="shared" si="11"/>
        <v>6.789216472575997E-4</v>
      </c>
      <c r="AG24" s="68"/>
    </row>
    <row r="25" spans="1:33" s="69" customFormat="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</row>
    <row r="26" spans="1:33" x14ac:dyDescent="0.25">
      <c r="A26" s="8" t="s">
        <v>60</v>
      </c>
      <c r="B26" s="1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2"/>
    </row>
    <row r="27" spans="1:33" x14ac:dyDescent="0.25">
      <c r="A27" s="9" t="s">
        <v>22</v>
      </c>
      <c r="B27" s="12">
        <f>ROUNDUP(B4/B34,0)*575</f>
        <v>575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12">
        <f>SUM(B27:AF27)</f>
        <v>575</v>
      </c>
    </row>
    <row r="28" spans="1:33" x14ac:dyDescent="0.25">
      <c r="A28" s="9" t="s">
        <v>13</v>
      </c>
      <c r="B28" s="12">
        <v>273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12">
        <f t="shared" ref="AG28:AG32" si="12">SUM(B28:AF28)</f>
        <v>273</v>
      </c>
    </row>
    <row r="29" spans="1:33" x14ac:dyDescent="0.25">
      <c r="A29" s="9" t="s">
        <v>23</v>
      </c>
      <c r="B29" s="9">
        <v>75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/>
    </row>
    <row r="30" spans="1:33" x14ac:dyDescent="0.25">
      <c r="A30" s="9" t="s">
        <v>24</v>
      </c>
      <c r="B30" s="12">
        <f>B29*1</f>
        <v>75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12">
        <f t="shared" si="12"/>
        <v>75</v>
      </c>
    </row>
    <row r="31" spans="1:33" x14ac:dyDescent="0.25">
      <c r="A31" s="9" t="s">
        <v>132</v>
      </c>
      <c r="B31" s="12">
        <f>(9*12)+350</f>
        <v>458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12">
        <f t="shared" si="12"/>
        <v>458</v>
      </c>
    </row>
    <row r="32" spans="1:33" x14ac:dyDescent="0.25">
      <c r="A32" s="9" t="s">
        <v>12</v>
      </c>
      <c r="B32" s="12">
        <f>0.15*4*12</f>
        <v>7.1999999999999993</v>
      </c>
      <c r="C32" s="12">
        <f>(B32)</f>
        <v>7.1999999999999993</v>
      </c>
      <c r="D32" s="12">
        <f t="shared" ref="D32:AF32" si="13">(C32)</f>
        <v>7.1999999999999993</v>
      </c>
      <c r="E32" s="12">
        <f t="shared" si="13"/>
        <v>7.1999999999999993</v>
      </c>
      <c r="F32" s="12">
        <f t="shared" si="13"/>
        <v>7.1999999999999993</v>
      </c>
      <c r="G32" s="12">
        <f t="shared" si="13"/>
        <v>7.1999999999999993</v>
      </c>
      <c r="H32" s="12">
        <f t="shared" si="13"/>
        <v>7.1999999999999993</v>
      </c>
      <c r="I32" s="12">
        <f t="shared" si="13"/>
        <v>7.1999999999999993</v>
      </c>
      <c r="J32" s="12">
        <f t="shared" si="13"/>
        <v>7.1999999999999993</v>
      </c>
      <c r="K32" s="12">
        <f t="shared" si="13"/>
        <v>7.1999999999999993</v>
      </c>
      <c r="L32" s="12">
        <f t="shared" si="13"/>
        <v>7.1999999999999993</v>
      </c>
      <c r="M32" s="12">
        <f t="shared" si="13"/>
        <v>7.1999999999999993</v>
      </c>
      <c r="N32" s="12">
        <f t="shared" si="13"/>
        <v>7.1999999999999993</v>
      </c>
      <c r="O32" s="12">
        <f t="shared" si="13"/>
        <v>7.1999999999999993</v>
      </c>
      <c r="P32" s="12">
        <f t="shared" si="13"/>
        <v>7.1999999999999993</v>
      </c>
      <c r="Q32" s="12">
        <f t="shared" si="13"/>
        <v>7.1999999999999993</v>
      </c>
      <c r="R32" s="12">
        <f t="shared" si="13"/>
        <v>7.1999999999999993</v>
      </c>
      <c r="S32" s="12">
        <f t="shared" si="13"/>
        <v>7.1999999999999993</v>
      </c>
      <c r="T32" s="12">
        <f t="shared" si="13"/>
        <v>7.1999999999999993</v>
      </c>
      <c r="U32" s="12">
        <f t="shared" si="13"/>
        <v>7.1999999999999993</v>
      </c>
      <c r="V32" s="12">
        <f t="shared" si="13"/>
        <v>7.1999999999999993</v>
      </c>
      <c r="W32" s="12">
        <f t="shared" si="13"/>
        <v>7.1999999999999993</v>
      </c>
      <c r="X32" s="12">
        <f t="shared" si="13"/>
        <v>7.1999999999999993</v>
      </c>
      <c r="Y32" s="12">
        <f t="shared" si="13"/>
        <v>7.1999999999999993</v>
      </c>
      <c r="Z32" s="12">
        <f t="shared" si="13"/>
        <v>7.1999999999999993</v>
      </c>
      <c r="AA32" s="12">
        <f t="shared" si="13"/>
        <v>7.1999999999999993</v>
      </c>
      <c r="AB32" s="12">
        <f t="shared" si="13"/>
        <v>7.1999999999999993</v>
      </c>
      <c r="AC32" s="12">
        <f t="shared" si="13"/>
        <v>7.1999999999999993</v>
      </c>
      <c r="AD32" s="12">
        <f t="shared" si="13"/>
        <v>7.1999999999999993</v>
      </c>
      <c r="AE32" s="12">
        <f t="shared" si="13"/>
        <v>7.1999999999999993</v>
      </c>
      <c r="AF32" s="12">
        <f t="shared" si="13"/>
        <v>7.1999999999999993</v>
      </c>
      <c r="AG32" s="12">
        <f t="shared" si="12"/>
        <v>223.19999999999987</v>
      </c>
    </row>
    <row r="33" spans="1:33" x14ac:dyDescent="0.25">
      <c r="A33" s="9" t="s">
        <v>104</v>
      </c>
      <c r="B33" s="15">
        <v>31</v>
      </c>
      <c r="C33" s="15">
        <f>B33</f>
        <v>31</v>
      </c>
      <c r="D33" s="15">
        <f t="shared" ref="D33:AF33" si="14">C33</f>
        <v>31</v>
      </c>
      <c r="E33" s="15">
        <f t="shared" si="14"/>
        <v>31</v>
      </c>
      <c r="F33" s="15">
        <f t="shared" si="14"/>
        <v>31</v>
      </c>
      <c r="G33" s="15">
        <f t="shared" si="14"/>
        <v>31</v>
      </c>
      <c r="H33" s="15">
        <f t="shared" si="14"/>
        <v>31</v>
      </c>
      <c r="I33" s="15">
        <f t="shared" si="14"/>
        <v>31</v>
      </c>
      <c r="J33" s="15">
        <f t="shared" si="14"/>
        <v>31</v>
      </c>
      <c r="K33" s="15">
        <f t="shared" si="14"/>
        <v>31</v>
      </c>
      <c r="L33" s="15">
        <f t="shared" si="14"/>
        <v>31</v>
      </c>
      <c r="M33" s="15">
        <f t="shared" si="14"/>
        <v>31</v>
      </c>
      <c r="N33" s="15">
        <f t="shared" si="14"/>
        <v>31</v>
      </c>
      <c r="O33" s="15">
        <f t="shared" si="14"/>
        <v>31</v>
      </c>
      <c r="P33" s="15">
        <f t="shared" si="14"/>
        <v>31</v>
      </c>
      <c r="Q33" s="15">
        <f t="shared" si="14"/>
        <v>31</v>
      </c>
      <c r="R33" s="15">
        <f t="shared" si="14"/>
        <v>31</v>
      </c>
      <c r="S33" s="15">
        <f t="shared" si="14"/>
        <v>31</v>
      </c>
      <c r="T33" s="15">
        <f t="shared" si="14"/>
        <v>31</v>
      </c>
      <c r="U33" s="15">
        <f t="shared" si="14"/>
        <v>31</v>
      </c>
      <c r="V33" s="15">
        <f t="shared" si="14"/>
        <v>31</v>
      </c>
      <c r="W33" s="15">
        <f t="shared" si="14"/>
        <v>31</v>
      </c>
      <c r="X33" s="15">
        <f t="shared" si="14"/>
        <v>31</v>
      </c>
      <c r="Y33" s="15">
        <f t="shared" si="14"/>
        <v>31</v>
      </c>
      <c r="Z33" s="15">
        <f t="shared" si="14"/>
        <v>31</v>
      </c>
      <c r="AA33" s="15">
        <f t="shared" si="14"/>
        <v>31</v>
      </c>
      <c r="AB33" s="15">
        <f t="shared" si="14"/>
        <v>31</v>
      </c>
      <c r="AC33" s="15">
        <f t="shared" si="14"/>
        <v>31</v>
      </c>
      <c r="AD33" s="15">
        <f t="shared" si="14"/>
        <v>31</v>
      </c>
      <c r="AE33" s="15">
        <f t="shared" si="14"/>
        <v>31</v>
      </c>
      <c r="AF33" s="15">
        <f t="shared" si="14"/>
        <v>31</v>
      </c>
      <c r="AG33" s="12"/>
    </row>
    <row r="34" spans="1:33" x14ac:dyDescent="0.25">
      <c r="A34" s="9" t="s">
        <v>120</v>
      </c>
      <c r="B34" s="15">
        <f>(B33*24)</f>
        <v>744</v>
      </c>
      <c r="C34" s="15">
        <f t="shared" ref="C34:AF34" si="15">(C33*24)</f>
        <v>744</v>
      </c>
      <c r="D34" s="15">
        <f t="shared" si="15"/>
        <v>744</v>
      </c>
      <c r="E34" s="15">
        <f t="shared" si="15"/>
        <v>744</v>
      </c>
      <c r="F34" s="15">
        <f t="shared" si="15"/>
        <v>744</v>
      </c>
      <c r="G34" s="15">
        <f t="shared" si="15"/>
        <v>744</v>
      </c>
      <c r="H34" s="15">
        <f t="shared" si="15"/>
        <v>744</v>
      </c>
      <c r="I34" s="15">
        <f t="shared" si="15"/>
        <v>744</v>
      </c>
      <c r="J34" s="15">
        <f t="shared" si="15"/>
        <v>744</v>
      </c>
      <c r="K34" s="15">
        <f t="shared" si="15"/>
        <v>744</v>
      </c>
      <c r="L34" s="15">
        <f t="shared" si="15"/>
        <v>744</v>
      </c>
      <c r="M34" s="15">
        <f t="shared" si="15"/>
        <v>744</v>
      </c>
      <c r="N34" s="15">
        <f t="shared" si="15"/>
        <v>744</v>
      </c>
      <c r="O34" s="15">
        <f t="shared" si="15"/>
        <v>744</v>
      </c>
      <c r="P34" s="15">
        <f t="shared" si="15"/>
        <v>744</v>
      </c>
      <c r="Q34" s="15">
        <f t="shared" si="15"/>
        <v>744</v>
      </c>
      <c r="R34" s="15">
        <f t="shared" si="15"/>
        <v>744</v>
      </c>
      <c r="S34" s="15">
        <f t="shared" si="15"/>
        <v>744</v>
      </c>
      <c r="T34" s="15">
        <f t="shared" si="15"/>
        <v>744</v>
      </c>
      <c r="U34" s="15">
        <f t="shared" si="15"/>
        <v>744</v>
      </c>
      <c r="V34" s="15">
        <f t="shared" si="15"/>
        <v>744</v>
      </c>
      <c r="W34" s="15">
        <f t="shared" si="15"/>
        <v>744</v>
      </c>
      <c r="X34" s="15">
        <f t="shared" si="15"/>
        <v>744</v>
      </c>
      <c r="Y34" s="15">
        <f t="shared" si="15"/>
        <v>744</v>
      </c>
      <c r="Z34" s="15">
        <f t="shared" si="15"/>
        <v>744</v>
      </c>
      <c r="AA34" s="15">
        <f t="shared" si="15"/>
        <v>744</v>
      </c>
      <c r="AB34" s="15">
        <f t="shared" si="15"/>
        <v>744</v>
      </c>
      <c r="AC34" s="15">
        <f t="shared" si="15"/>
        <v>744</v>
      </c>
      <c r="AD34" s="15">
        <f t="shared" si="15"/>
        <v>744</v>
      </c>
      <c r="AE34" s="15">
        <f t="shared" si="15"/>
        <v>744</v>
      </c>
      <c r="AF34" s="15">
        <f t="shared" si="15"/>
        <v>744</v>
      </c>
      <c r="AG34" s="12"/>
    </row>
    <row r="35" spans="1:33" x14ac:dyDescent="0.25">
      <c r="A35" s="9" t="s">
        <v>119</v>
      </c>
      <c r="B35" s="13">
        <f>SUM(B34*365)</f>
        <v>271560</v>
      </c>
      <c r="C35" s="13">
        <f>($B$35*C2)</f>
        <v>271560</v>
      </c>
      <c r="D35" s="13">
        <f t="shared" ref="D35:AF35" si="16">($B$35*D2)</f>
        <v>543120</v>
      </c>
      <c r="E35" s="13">
        <f t="shared" si="16"/>
        <v>814680</v>
      </c>
      <c r="F35" s="13">
        <f t="shared" si="16"/>
        <v>1086240</v>
      </c>
      <c r="G35" s="13">
        <f t="shared" si="16"/>
        <v>1357800</v>
      </c>
      <c r="H35" s="13">
        <f t="shared" si="16"/>
        <v>1629360</v>
      </c>
      <c r="I35" s="13">
        <f t="shared" si="16"/>
        <v>1900920</v>
      </c>
      <c r="J35" s="13">
        <f t="shared" si="16"/>
        <v>2172480</v>
      </c>
      <c r="K35" s="13">
        <f t="shared" si="16"/>
        <v>2444040</v>
      </c>
      <c r="L35" s="13">
        <f t="shared" si="16"/>
        <v>2715600</v>
      </c>
      <c r="M35" s="13">
        <f t="shared" si="16"/>
        <v>2987160</v>
      </c>
      <c r="N35" s="13">
        <f t="shared" si="16"/>
        <v>3258720</v>
      </c>
      <c r="O35" s="13">
        <f t="shared" si="16"/>
        <v>3530280</v>
      </c>
      <c r="P35" s="13">
        <f t="shared" si="16"/>
        <v>3801840</v>
      </c>
      <c r="Q35" s="13">
        <f t="shared" si="16"/>
        <v>4073400</v>
      </c>
      <c r="R35" s="13">
        <f t="shared" si="16"/>
        <v>4344960</v>
      </c>
      <c r="S35" s="13">
        <f t="shared" si="16"/>
        <v>4616520</v>
      </c>
      <c r="T35" s="13">
        <f t="shared" si="16"/>
        <v>4888080</v>
      </c>
      <c r="U35" s="13">
        <f t="shared" si="16"/>
        <v>5159640</v>
      </c>
      <c r="V35" s="13">
        <f t="shared" si="16"/>
        <v>5431200</v>
      </c>
      <c r="W35" s="13">
        <f t="shared" si="16"/>
        <v>5702760</v>
      </c>
      <c r="X35" s="13">
        <f t="shared" si="16"/>
        <v>5974320</v>
      </c>
      <c r="Y35" s="13">
        <f t="shared" si="16"/>
        <v>6245880</v>
      </c>
      <c r="Z35" s="13">
        <f t="shared" si="16"/>
        <v>6517440</v>
      </c>
      <c r="AA35" s="13">
        <f t="shared" si="16"/>
        <v>6789000</v>
      </c>
      <c r="AB35" s="13">
        <f t="shared" si="16"/>
        <v>7060560</v>
      </c>
      <c r="AC35" s="13">
        <f t="shared" si="16"/>
        <v>7332120</v>
      </c>
      <c r="AD35" s="13">
        <f t="shared" si="16"/>
        <v>7603680</v>
      </c>
      <c r="AE35" s="13">
        <f t="shared" si="16"/>
        <v>7875240</v>
      </c>
      <c r="AF35" s="13">
        <f t="shared" si="16"/>
        <v>8146800</v>
      </c>
      <c r="AG35" s="9"/>
    </row>
    <row r="36" spans="1:33" x14ac:dyDescent="0.25">
      <c r="A36" s="9" t="s">
        <v>88</v>
      </c>
      <c r="B36" s="12">
        <f>SUM(B27+B28+B30+B32)</f>
        <v>930.2</v>
      </c>
      <c r="C36" s="12">
        <f t="shared" ref="C36:AF36" si="17">SUM(C26+C27+C28+C30+C32)</f>
        <v>7.1999999999999993</v>
      </c>
      <c r="D36" s="12">
        <f t="shared" si="17"/>
        <v>7.1999999999999993</v>
      </c>
      <c r="E36" s="12">
        <f t="shared" si="17"/>
        <v>7.1999999999999993</v>
      </c>
      <c r="F36" s="12">
        <f t="shared" si="17"/>
        <v>7.1999999999999993</v>
      </c>
      <c r="G36" s="12">
        <f t="shared" si="17"/>
        <v>7.1999999999999993</v>
      </c>
      <c r="H36" s="12">
        <f t="shared" si="17"/>
        <v>7.1999999999999993</v>
      </c>
      <c r="I36" s="12">
        <f t="shared" si="17"/>
        <v>7.1999999999999993</v>
      </c>
      <c r="J36" s="12">
        <f t="shared" si="17"/>
        <v>7.1999999999999993</v>
      </c>
      <c r="K36" s="12">
        <f t="shared" si="17"/>
        <v>7.1999999999999993</v>
      </c>
      <c r="L36" s="12">
        <f t="shared" si="17"/>
        <v>7.1999999999999993</v>
      </c>
      <c r="M36" s="12">
        <f t="shared" si="17"/>
        <v>7.1999999999999993</v>
      </c>
      <c r="N36" s="12">
        <f t="shared" si="17"/>
        <v>7.1999999999999993</v>
      </c>
      <c r="O36" s="12">
        <f t="shared" si="17"/>
        <v>7.1999999999999993</v>
      </c>
      <c r="P36" s="12">
        <f t="shared" si="17"/>
        <v>7.1999999999999993</v>
      </c>
      <c r="Q36" s="12">
        <f t="shared" si="17"/>
        <v>7.1999999999999993</v>
      </c>
      <c r="R36" s="12">
        <f t="shared" si="17"/>
        <v>7.1999999999999993</v>
      </c>
      <c r="S36" s="12">
        <f t="shared" si="17"/>
        <v>7.1999999999999993</v>
      </c>
      <c r="T36" s="12">
        <f t="shared" si="17"/>
        <v>7.1999999999999993</v>
      </c>
      <c r="U36" s="12">
        <f t="shared" si="17"/>
        <v>7.1999999999999993</v>
      </c>
      <c r="V36" s="12">
        <f t="shared" si="17"/>
        <v>7.1999999999999993</v>
      </c>
      <c r="W36" s="12">
        <f t="shared" si="17"/>
        <v>7.1999999999999993</v>
      </c>
      <c r="X36" s="12">
        <f t="shared" si="17"/>
        <v>7.1999999999999993</v>
      </c>
      <c r="Y36" s="12">
        <f t="shared" si="17"/>
        <v>7.1999999999999993</v>
      </c>
      <c r="Z36" s="12">
        <f t="shared" si="17"/>
        <v>7.1999999999999993</v>
      </c>
      <c r="AA36" s="12">
        <f t="shared" si="17"/>
        <v>7.1999999999999993</v>
      </c>
      <c r="AB36" s="12">
        <f t="shared" si="17"/>
        <v>7.1999999999999993</v>
      </c>
      <c r="AC36" s="12">
        <f t="shared" si="17"/>
        <v>7.1999999999999993</v>
      </c>
      <c r="AD36" s="12">
        <f t="shared" si="17"/>
        <v>7.1999999999999993</v>
      </c>
      <c r="AE36" s="12">
        <f t="shared" si="17"/>
        <v>7.1999999999999993</v>
      </c>
      <c r="AF36" s="12">
        <f t="shared" si="17"/>
        <v>7.1999999999999993</v>
      </c>
      <c r="AG36" s="9"/>
    </row>
    <row r="37" spans="1:33" x14ac:dyDescent="0.25">
      <c r="A37" s="9" t="s">
        <v>121</v>
      </c>
      <c r="B37" s="12">
        <f>B36</f>
        <v>930.2</v>
      </c>
      <c r="C37" s="12">
        <f>B37+C36</f>
        <v>937.40000000000009</v>
      </c>
      <c r="D37" s="12">
        <f t="shared" ref="D37:AF37" si="18">C37+D36</f>
        <v>944.60000000000014</v>
      </c>
      <c r="E37" s="12">
        <f t="shared" si="18"/>
        <v>951.80000000000018</v>
      </c>
      <c r="F37" s="12">
        <f t="shared" si="18"/>
        <v>959.00000000000023</v>
      </c>
      <c r="G37" s="12">
        <f t="shared" si="18"/>
        <v>966.20000000000027</v>
      </c>
      <c r="H37" s="12">
        <f t="shared" si="18"/>
        <v>973.40000000000032</v>
      </c>
      <c r="I37" s="12">
        <f t="shared" si="18"/>
        <v>980.60000000000036</v>
      </c>
      <c r="J37" s="12">
        <f t="shared" si="18"/>
        <v>987.80000000000041</v>
      </c>
      <c r="K37" s="12">
        <f t="shared" si="18"/>
        <v>995.00000000000045</v>
      </c>
      <c r="L37" s="12">
        <f t="shared" si="18"/>
        <v>1002.2000000000005</v>
      </c>
      <c r="M37" s="12">
        <f t="shared" si="18"/>
        <v>1009.4000000000005</v>
      </c>
      <c r="N37" s="12">
        <f t="shared" si="18"/>
        <v>1016.6000000000006</v>
      </c>
      <c r="O37" s="12">
        <f t="shared" si="18"/>
        <v>1023.8000000000006</v>
      </c>
      <c r="P37" s="12">
        <f t="shared" si="18"/>
        <v>1031.0000000000007</v>
      </c>
      <c r="Q37" s="12">
        <f t="shared" si="18"/>
        <v>1038.2000000000007</v>
      </c>
      <c r="R37" s="12">
        <f t="shared" si="18"/>
        <v>1045.4000000000008</v>
      </c>
      <c r="S37" s="12">
        <f t="shared" si="18"/>
        <v>1052.6000000000008</v>
      </c>
      <c r="T37" s="12">
        <f t="shared" si="18"/>
        <v>1059.8000000000009</v>
      </c>
      <c r="U37" s="12">
        <f t="shared" si="18"/>
        <v>1067.0000000000009</v>
      </c>
      <c r="V37" s="12">
        <f t="shared" si="18"/>
        <v>1074.200000000001</v>
      </c>
      <c r="W37" s="12">
        <f t="shared" si="18"/>
        <v>1081.400000000001</v>
      </c>
      <c r="X37" s="12">
        <f t="shared" si="18"/>
        <v>1088.600000000001</v>
      </c>
      <c r="Y37" s="12">
        <f t="shared" si="18"/>
        <v>1095.8000000000011</v>
      </c>
      <c r="Z37" s="12">
        <f t="shared" si="18"/>
        <v>1103.0000000000011</v>
      </c>
      <c r="AA37" s="12">
        <f t="shared" si="18"/>
        <v>1110.2000000000012</v>
      </c>
      <c r="AB37" s="12">
        <f t="shared" si="18"/>
        <v>1117.4000000000012</v>
      </c>
      <c r="AC37" s="12">
        <f t="shared" si="18"/>
        <v>1124.6000000000013</v>
      </c>
      <c r="AD37" s="12">
        <f t="shared" si="18"/>
        <v>1131.8000000000013</v>
      </c>
      <c r="AE37" s="12">
        <f t="shared" si="18"/>
        <v>1139.0000000000014</v>
      </c>
      <c r="AF37" s="12">
        <f t="shared" si="18"/>
        <v>1146.2000000000014</v>
      </c>
      <c r="AG37" s="9"/>
    </row>
    <row r="38" spans="1:33" x14ac:dyDescent="0.25">
      <c r="A38" s="9" t="s">
        <v>122</v>
      </c>
      <c r="B38" s="12">
        <f>SUM(AG27:AG32)</f>
        <v>1604.1999999999998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>
        <f>SUM(AG27:AG32)</f>
        <v>1604.1999999999998</v>
      </c>
    </row>
    <row r="39" spans="1:33" x14ac:dyDescent="0.25">
      <c r="A39" s="9" t="s">
        <v>90</v>
      </c>
      <c r="B39" s="12">
        <f>B36</f>
        <v>930.2</v>
      </c>
      <c r="C39" s="12">
        <f>SUM(C37/C2)</f>
        <v>937.40000000000009</v>
      </c>
      <c r="D39" s="12">
        <f t="shared" ref="D39:AF39" si="19">SUM(D37/D2)</f>
        <v>472.30000000000007</v>
      </c>
      <c r="E39" s="12">
        <f t="shared" si="19"/>
        <v>317.26666666666671</v>
      </c>
      <c r="F39" s="12">
        <f t="shared" si="19"/>
        <v>239.75000000000006</v>
      </c>
      <c r="G39" s="12">
        <f t="shared" si="19"/>
        <v>193.24000000000007</v>
      </c>
      <c r="H39" s="12">
        <f t="shared" si="19"/>
        <v>162.23333333333338</v>
      </c>
      <c r="I39" s="12">
        <f t="shared" si="19"/>
        <v>140.08571428571435</v>
      </c>
      <c r="J39" s="12">
        <f t="shared" si="19"/>
        <v>123.47500000000005</v>
      </c>
      <c r="K39" s="12">
        <f t="shared" si="19"/>
        <v>110.5555555555556</v>
      </c>
      <c r="L39" s="12">
        <f t="shared" si="19"/>
        <v>100.22000000000006</v>
      </c>
      <c r="M39" s="12">
        <f t="shared" si="19"/>
        <v>91.763636363636408</v>
      </c>
      <c r="N39" s="12">
        <f t="shared" si="19"/>
        <v>84.716666666666711</v>
      </c>
      <c r="O39" s="12">
        <f t="shared" si="19"/>
        <v>78.753846153846197</v>
      </c>
      <c r="P39" s="12">
        <f t="shared" si="19"/>
        <v>73.642857142857196</v>
      </c>
      <c r="Q39" s="12">
        <f t="shared" si="19"/>
        <v>69.213333333333381</v>
      </c>
      <c r="R39" s="12">
        <f t="shared" si="19"/>
        <v>65.337500000000048</v>
      </c>
      <c r="S39" s="12">
        <f t="shared" si="19"/>
        <v>61.917647058823576</v>
      </c>
      <c r="T39" s="12">
        <f t="shared" si="19"/>
        <v>58.877777777777823</v>
      </c>
      <c r="U39" s="12">
        <f t="shared" si="19"/>
        <v>56.157894736842152</v>
      </c>
      <c r="V39" s="12">
        <f t="shared" si="19"/>
        <v>53.710000000000051</v>
      </c>
      <c r="W39" s="12">
        <f t="shared" si="19"/>
        <v>51.495238095238143</v>
      </c>
      <c r="X39" s="12">
        <f t="shared" si="19"/>
        <v>49.481818181818227</v>
      </c>
      <c r="Y39" s="12">
        <f t="shared" si="19"/>
        <v>47.643478260869614</v>
      </c>
      <c r="Z39" s="12">
        <f t="shared" si="19"/>
        <v>45.958333333333378</v>
      </c>
      <c r="AA39" s="12">
        <f t="shared" si="19"/>
        <v>44.408000000000044</v>
      </c>
      <c r="AB39" s="12">
        <f t="shared" si="19"/>
        <v>42.976923076923121</v>
      </c>
      <c r="AC39" s="12">
        <f t="shared" si="19"/>
        <v>41.651851851851902</v>
      </c>
      <c r="AD39" s="12">
        <f t="shared" si="19"/>
        <v>40.421428571428621</v>
      </c>
      <c r="AE39" s="12">
        <f t="shared" si="19"/>
        <v>39.275862068965566</v>
      </c>
      <c r="AF39" s="12">
        <f t="shared" si="19"/>
        <v>38.206666666666713</v>
      </c>
      <c r="AG39" s="12"/>
    </row>
    <row r="40" spans="1:33" s="69" customFormat="1" x14ac:dyDescent="0.25">
      <c r="A40" s="68" t="s">
        <v>108</v>
      </c>
      <c r="B40" s="68">
        <f>(B37/B35)</f>
        <v>3.4253940197378112E-3</v>
      </c>
      <c r="C40" s="68">
        <f t="shared" ref="C40:AF40" si="20">(C37/C35)</f>
        <v>3.451907497422301E-3</v>
      </c>
      <c r="D40" s="68">
        <f t="shared" si="20"/>
        <v>1.7392104875533954E-3</v>
      </c>
      <c r="E40" s="68">
        <f t="shared" si="20"/>
        <v>1.1683114842637602E-3</v>
      </c>
      <c r="F40" s="68">
        <f t="shared" si="20"/>
        <v>8.8286198261894257E-4</v>
      </c>
      <c r="G40" s="68">
        <f t="shared" si="20"/>
        <v>7.1159228163205203E-4</v>
      </c>
      <c r="H40" s="68">
        <f t="shared" si="20"/>
        <v>5.9741248097412497E-4</v>
      </c>
      <c r="I40" s="68">
        <f t="shared" si="20"/>
        <v>5.158554805041771E-4</v>
      </c>
      <c r="J40" s="68">
        <f t="shared" si="20"/>
        <v>4.5468773015171622E-4</v>
      </c>
      <c r="K40" s="68">
        <f t="shared" si="20"/>
        <v>4.0711281321091327E-4</v>
      </c>
      <c r="L40" s="68">
        <f t="shared" si="20"/>
        <v>3.690528796582709E-4</v>
      </c>
      <c r="M40" s="68">
        <f t="shared" si="20"/>
        <v>3.379129340242908E-4</v>
      </c>
      <c r="N40" s="68">
        <f t="shared" si="20"/>
        <v>3.1196297932930742E-4</v>
      </c>
      <c r="O40" s="68">
        <f t="shared" si="20"/>
        <v>2.9000532535662914E-4</v>
      </c>
      <c r="P40" s="68">
        <f t="shared" si="20"/>
        <v>2.7118447909433343E-4</v>
      </c>
      <c r="Q40" s="68">
        <f t="shared" si="20"/>
        <v>2.5487307900034389E-4</v>
      </c>
      <c r="R40" s="68">
        <f t="shared" si="20"/>
        <v>2.4060060391810299E-4</v>
      </c>
      <c r="S40" s="68">
        <f t="shared" si="20"/>
        <v>2.2800724355141985E-4</v>
      </c>
      <c r="T40" s="68">
        <f t="shared" si="20"/>
        <v>2.1681314544770152E-4</v>
      </c>
      <c r="U40" s="68">
        <f t="shared" si="20"/>
        <v>2.0679737346016407E-4</v>
      </c>
      <c r="V40" s="68">
        <f t="shared" si="20"/>
        <v>1.9778317867138036E-4</v>
      </c>
      <c r="W40" s="68">
        <f t="shared" si="20"/>
        <v>1.8962747862438556E-4</v>
      </c>
      <c r="X40" s="68">
        <f t="shared" si="20"/>
        <v>1.8221320585439031E-4</v>
      </c>
      <c r="Y40" s="68">
        <f t="shared" si="20"/>
        <v>1.7544365245569896E-4</v>
      </c>
      <c r="Z40" s="68">
        <f t="shared" si="20"/>
        <v>1.6923822850689859E-4</v>
      </c>
      <c r="AA40" s="68">
        <f t="shared" si="20"/>
        <v>1.6352923847400225E-4</v>
      </c>
      <c r="AB40" s="68">
        <f t="shared" si="20"/>
        <v>1.5825940152055945E-4</v>
      </c>
      <c r="AC40" s="68">
        <f t="shared" si="20"/>
        <v>1.5337992285996427E-4</v>
      </c>
      <c r="AD40" s="68">
        <f t="shared" si="20"/>
        <v>1.4884897838941162E-4</v>
      </c>
      <c r="AE40" s="68">
        <f t="shared" si="20"/>
        <v>1.446305128478626E-4</v>
      </c>
      <c r="AF40" s="68">
        <f t="shared" si="20"/>
        <v>1.4069327834241683E-4</v>
      </c>
      <c r="AG40" s="68"/>
    </row>
    <row r="41" spans="1:33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3" x14ac:dyDescent="0.25">
      <c r="A42" s="17" t="s">
        <v>28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9"/>
      <c r="AA42" s="18"/>
      <c r="AB42" s="18"/>
      <c r="AC42" s="18"/>
      <c r="AD42" s="18"/>
      <c r="AE42" s="18"/>
      <c r="AF42" s="18"/>
      <c r="AG42" s="21"/>
    </row>
    <row r="43" spans="1:33" x14ac:dyDescent="0.25">
      <c r="A43" s="57" t="s">
        <v>31</v>
      </c>
      <c r="B43" s="18">
        <f>(24-B5)</f>
        <v>19</v>
      </c>
      <c r="C43" s="18">
        <f t="shared" ref="C43:AF43" si="21">(24-C5)</f>
        <v>19</v>
      </c>
      <c r="D43" s="18">
        <f t="shared" si="21"/>
        <v>19</v>
      </c>
      <c r="E43" s="18">
        <f t="shared" si="21"/>
        <v>19</v>
      </c>
      <c r="F43" s="18">
        <f t="shared" si="21"/>
        <v>19</v>
      </c>
      <c r="G43" s="18">
        <f t="shared" si="21"/>
        <v>19</v>
      </c>
      <c r="H43" s="18">
        <f t="shared" si="21"/>
        <v>19</v>
      </c>
      <c r="I43" s="18">
        <f t="shared" si="21"/>
        <v>19</v>
      </c>
      <c r="J43" s="18">
        <f t="shared" si="21"/>
        <v>19</v>
      </c>
      <c r="K43" s="18">
        <f t="shared" si="21"/>
        <v>19</v>
      </c>
      <c r="L43" s="18">
        <f t="shared" si="21"/>
        <v>19</v>
      </c>
      <c r="M43" s="18">
        <f t="shared" si="21"/>
        <v>19</v>
      </c>
      <c r="N43" s="18">
        <f t="shared" si="21"/>
        <v>19</v>
      </c>
      <c r="O43" s="18">
        <f t="shared" si="21"/>
        <v>19</v>
      </c>
      <c r="P43" s="18">
        <f t="shared" si="21"/>
        <v>19</v>
      </c>
      <c r="Q43" s="18">
        <f t="shared" si="21"/>
        <v>19</v>
      </c>
      <c r="R43" s="18">
        <f t="shared" si="21"/>
        <v>19</v>
      </c>
      <c r="S43" s="18">
        <f t="shared" si="21"/>
        <v>19</v>
      </c>
      <c r="T43" s="18">
        <f t="shared" si="21"/>
        <v>19</v>
      </c>
      <c r="U43" s="18">
        <f t="shared" si="21"/>
        <v>19</v>
      </c>
      <c r="V43" s="18">
        <f t="shared" si="21"/>
        <v>19</v>
      </c>
      <c r="W43" s="18">
        <f t="shared" si="21"/>
        <v>19</v>
      </c>
      <c r="X43" s="18">
        <f t="shared" si="21"/>
        <v>19</v>
      </c>
      <c r="Y43" s="18">
        <f t="shared" si="21"/>
        <v>19</v>
      </c>
      <c r="Z43" s="18">
        <f t="shared" si="21"/>
        <v>19</v>
      </c>
      <c r="AA43" s="18">
        <f t="shared" si="21"/>
        <v>19</v>
      </c>
      <c r="AB43" s="18">
        <f t="shared" si="21"/>
        <v>19</v>
      </c>
      <c r="AC43" s="18">
        <f t="shared" si="21"/>
        <v>19</v>
      </c>
      <c r="AD43" s="18">
        <f t="shared" si="21"/>
        <v>19</v>
      </c>
      <c r="AE43" s="18">
        <f t="shared" si="21"/>
        <v>19</v>
      </c>
      <c r="AF43" s="18">
        <f t="shared" si="21"/>
        <v>19</v>
      </c>
      <c r="AG43" s="18"/>
    </row>
    <row r="44" spans="1:33" x14ac:dyDescent="0.25">
      <c r="A44" s="57" t="s">
        <v>39</v>
      </c>
      <c r="B44" s="58">
        <f>(B43*(4.25*60))</f>
        <v>4845</v>
      </c>
      <c r="C44" s="58">
        <f t="shared" ref="C44:AF44" si="22">(C43*(4.25*60))</f>
        <v>4845</v>
      </c>
      <c r="D44" s="58">
        <f t="shared" si="22"/>
        <v>4845</v>
      </c>
      <c r="E44" s="58">
        <f t="shared" si="22"/>
        <v>4845</v>
      </c>
      <c r="F44" s="58">
        <f t="shared" si="22"/>
        <v>4845</v>
      </c>
      <c r="G44" s="58">
        <f t="shared" si="22"/>
        <v>4845</v>
      </c>
      <c r="H44" s="58">
        <f t="shared" si="22"/>
        <v>4845</v>
      </c>
      <c r="I44" s="58">
        <f t="shared" si="22"/>
        <v>4845</v>
      </c>
      <c r="J44" s="58">
        <f t="shared" si="22"/>
        <v>4845</v>
      </c>
      <c r="K44" s="58">
        <f t="shared" si="22"/>
        <v>4845</v>
      </c>
      <c r="L44" s="58">
        <f t="shared" si="22"/>
        <v>4845</v>
      </c>
      <c r="M44" s="58">
        <f t="shared" si="22"/>
        <v>4845</v>
      </c>
      <c r="N44" s="58">
        <f t="shared" si="22"/>
        <v>4845</v>
      </c>
      <c r="O44" s="58">
        <f t="shared" si="22"/>
        <v>4845</v>
      </c>
      <c r="P44" s="58">
        <f t="shared" si="22"/>
        <v>4845</v>
      </c>
      <c r="Q44" s="58">
        <f t="shared" si="22"/>
        <v>4845</v>
      </c>
      <c r="R44" s="58">
        <f t="shared" si="22"/>
        <v>4845</v>
      </c>
      <c r="S44" s="58">
        <f t="shared" si="22"/>
        <v>4845</v>
      </c>
      <c r="T44" s="58">
        <f t="shared" si="22"/>
        <v>4845</v>
      </c>
      <c r="U44" s="58">
        <f t="shared" si="22"/>
        <v>4845</v>
      </c>
      <c r="V44" s="58">
        <f t="shared" si="22"/>
        <v>4845</v>
      </c>
      <c r="W44" s="58">
        <f t="shared" si="22"/>
        <v>4845</v>
      </c>
      <c r="X44" s="58">
        <f t="shared" si="22"/>
        <v>4845</v>
      </c>
      <c r="Y44" s="58">
        <f t="shared" si="22"/>
        <v>4845</v>
      </c>
      <c r="Z44" s="58">
        <f t="shared" si="22"/>
        <v>4845</v>
      </c>
      <c r="AA44" s="58">
        <f t="shared" si="22"/>
        <v>4845</v>
      </c>
      <c r="AB44" s="58">
        <f t="shared" si="22"/>
        <v>4845</v>
      </c>
      <c r="AC44" s="58">
        <f t="shared" si="22"/>
        <v>4845</v>
      </c>
      <c r="AD44" s="58">
        <f t="shared" si="22"/>
        <v>4845</v>
      </c>
      <c r="AE44" s="58">
        <f t="shared" si="22"/>
        <v>4845</v>
      </c>
      <c r="AF44" s="58">
        <f t="shared" si="22"/>
        <v>4845</v>
      </c>
      <c r="AG44" s="18"/>
    </row>
    <row r="45" spans="1:33" x14ac:dyDescent="0.25">
      <c r="A45" s="18" t="s">
        <v>32</v>
      </c>
      <c r="B45" s="18">
        <f>MROUND(B44*2,1000)</f>
        <v>10000</v>
      </c>
      <c r="C45" s="18">
        <f t="shared" ref="C45:AF45" si="23">MROUND(C44*2,1000)</f>
        <v>10000</v>
      </c>
      <c r="D45" s="18">
        <f t="shared" si="23"/>
        <v>10000</v>
      </c>
      <c r="E45" s="18">
        <f t="shared" si="23"/>
        <v>10000</v>
      </c>
      <c r="F45" s="18">
        <f t="shared" si="23"/>
        <v>10000</v>
      </c>
      <c r="G45" s="18">
        <f t="shared" si="23"/>
        <v>10000</v>
      </c>
      <c r="H45" s="18">
        <f t="shared" si="23"/>
        <v>10000</v>
      </c>
      <c r="I45" s="18">
        <f t="shared" si="23"/>
        <v>10000</v>
      </c>
      <c r="J45" s="18">
        <f t="shared" si="23"/>
        <v>10000</v>
      </c>
      <c r="K45" s="18">
        <f t="shared" si="23"/>
        <v>10000</v>
      </c>
      <c r="L45" s="18">
        <f t="shared" si="23"/>
        <v>10000</v>
      </c>
      <c r="M45" s="18">
        <f t="shared" si="23"/>
        <v>10000</v>
      </c>
      <c r="N45" s="18">
        <f t="shared" si="23"/>
        <v>10000</v>
      </c>
      <c r="O45" s="18">
        <f t="shared" si="23"/>
        <v>10000</v>
      </c>
      <c r="P45" s="18">
        <f t="shared" si="23"/>
        <v>10000</v>
      </c>
      <c r="Q45" s="18">
        <f t="shared" si="23"/>
        <v>10000</v>
      </c>
      <c r="R45" s="18">
        <f t="shared" si="23"/>
        <v>10000</v>
      </c>
      <c r="S45" s="18">
        <f t="shared" si="23"/>
        <v>10000</v>
      </c>
      <c r="T45" s="18">
        <f t="shared" si="23"/>
        <v>10000</v>
      </c>
      <c r="U45" s="18">
        <f t="shared" si="23"/>
        <v>10000</v>
      </c>
      <c r="V45" s="18">
        <f t="shared" si="23"/>
        <v>10000</v>
      </c>
      <c r="W45" s="18">
        <f t="shared" si="23"/>
        <v>10000</v>
      </c>
      <c r="X45" s="18">
        <f t="shared" si="23"/>
        <v>10000</v>
      </c>
      <c r="Y45" s="18">
        <f t="shared" si="23"/>
        <v>10000</v>
      </c>
      <c r="Z45" s="18">
        <f t="shared" si="23"/>
        <v>10000</v>
      </c>
      <c r="AA45" s="18">
        <f t="shared" si="23"/>
        <v>10000</v>
      </c>
      <c r="AB45" s="18">
        <f t="shared" si="23"/>
        <v>10000</v>
      </c>
      <c r="AC45" s="18">
        <f t="shared" si="23"/>
        <v>10000</v>
      </c>
      <c r="AD45" s="18">
        <f t="shared" si="23"/>
        <v>10000</v>
      </c>
      <c r="AE45" s="18">
        <f t="shared" si="23"/>
        <v>10000</v>
      </c>
      <c r="AF45" s="18">
        <f t="shared" si="23"/>
        <v>10000</v>
      </c>
      <c r="AG45" s="18"/>
    </row>
    <row r="46" spans="1:33" x14ac:dyDescent="0.25">
      <c r="A46" s="18" t="s">
        <v>33</v>
      </c>
      <c r="B46" s="21">
        <f>(B45*0.46)</f>
        <v>4600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21">
        <f>SUM(B46:AF46)</f>
        <v>4600</v>
      </c>
    </row>
    <row r="47" spans="1:33" x14ac:dyDescent="0.25">
      <c r="A47" s="18" t="s">
        <v>29</v>
      </c>
      <c r="B47" s="18">
        <v>187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/>
    </row>
    <row r="48" spans="1:33" x14ac:dyDescent="0.25">
      <c r="A48" s="18" t="s">
        <v>79</v>
      </c>
      <c r="B48" s="18">
        <f>B47*2</f>
        <v>374</v>
      </c>
      <c r="C48" s="18">
        <f t="shared" ref="C48:AF48" si="24">C47*2</f>
        <v>0</v>
      </c>
      <c r="D48" s="18">
        <f t="shared" si="24"/>
        <v>0</v>
      </c>
      <c r="E48" s="18">
        <f t="shared" si="24"/>
        <v>0</v>
      </c>
      <c r="F48" s="18">
        <f t="shared" si="24"/>
        <v>0</v>
      </c>
      <c r="G48" s="18">
        <f t="shared" si="24"/>
        <v>0</v>
      </c>
      <c r="H48" s="18">
        <f t="shared" si="24"/>
        <v>0</v>
      </c>
      <c r="I48" s="18">
        <f t="shared" si="24"/>
        <v>0</v>
      </c>
      <c r="J48" s="18">
        <f t="shared" si="24"/>
        <v>0</v>
      </c>
      <c r="K48" s="18">
        <f t="shared" si="24"/>
        <v>0</v>
      </c>
      <c r="L48" s="18">
        <f t="shared" si="24"/>
        <v>0</v>
      </c>
      <c r="M48" s="18">
        <f t="shared" si="24"/>
        <v>0</v>
      </c>
      <c r="N48" s="18">
        <f t="shared" si="24"/>
        <v>0</v>
      </c>
      <c r="O48" s="18">
        <f t="shared" si="24"/>
        <v>0</v>
      </c>
      <c r="P48" s="18">
        <f t="shared" si="24"/>
        <v>0</v>
      </c>
      <c r="Q48" s="18">
        <f t="shared" si="24"/>
        <v>0</v>
      </c>
      <c r="R48" s="18">
        <f t="shared" si="24"/>
        <v>0</v>
      </c>
      <c r="S48" s="18">
        <f t="shared" si="24"/>
        <v>0</v>
      </c>
      <c r="T48" s="18">
        <f t="shared" si="24"/>
        <v>0</v>
      </c>
      <c r="U48" s="18">
        <f t="shared" si="24"/>
        <v>0</v>
      </c>
      <c r="V48" s="18">
        <f t="shared" si="24"/>
        <v>0</v>
      </c>
      <c r="W48" s="18">
        <f t="shared" si="24"/>
        <v>0</v>
      </c>
      <c r="X48" s="18">
        <f t="shared" si="24"/>
        <v>0</v>
      </c>
      <c r="Y48" s="18">
        <f t="shared" si="24"/>
        <v>0</v>
      </c>
      <c r="Z48" s="18">
        <f t="shared" si="24"/>
        <v>0</v>
      </c>
      <c r="AA48" s="18">
        <f t="shared" si="24"/>
        <v>0</v>
      </c>
      <c r="AB48" s="18">
        <f t="shared" si="24"/>
        <v>0</v>
      </c>
      <c r="AC48" s="18">
        <f t="shared" si="24"/>
        <v>0</v>
      </c>
      <c r="AD48" s="18">
        <f t="shared" si="24"/>
        <v>0</v>
      </c>
      <c r="AE48" s="18">
        <f t="shared" si="24"/>
        <v>0</v>
      </c>
      <c r="AF48" s="18">
        <f t="shared" si="24"/>
        <v>0</v>
      </c>
      <c r="AG48" s="18"/>
    </row>
    <row r="49" spans="1:33" x14ac:dyDescent="0.25">
      <c r="A49" s="18" t="s">
        <v>36</v>
      </c>
      <c r="B49" s="21">
        <f>ROUNDUP(B48,100)*0.19</f>
        <v>71.06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21">
        <f>SUM(B49:AF49)</f>
        <v>71.06</v>
      </c>
    </row>
    <row r="50" spans="1:33" x14ac:dyDescent="0.25">
      <c r="A50" s="18" t="s">
        <v>80</v>
      </c>
      <c r="B50" s="21">
        <f>ROUNDUP(B48/100,0)*5</f>
        <v>20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21">
        <f>SUM(B50:AF50)</f>
        <v>20</v>
      </c>
    </row>
    <row r="51" spans="1:33" x14ac:dyDescent="0.25">
      <c r="A51" s="18" t="s">
        <v>34</v>
      </c>
      <c r="B51" s="18">
        <v>990</v>
      </c>
      <c r="C51" s="18">
        <v>990</v>
      </c>
      <c r="D51" s="18">
        <v>990</v>
      </c>
      <c r="E51" s="18">
        <v>990</v>
      </c>
      <c r="F51" s="18">
        <v>990</v>
      </c>
      <c r="G51" s="18">
        <v>990</v>
      </c>
      <c r="H51" s="18">
        <v>990</v>
      </c>
      <c r="I51" s="18">
        <v>990</v>
      </c>
      <c r="J51" s="18">
        <v>990</v>
      </c>
      <c r="K51" s="18">
        <v>990</v>
      </c>
      <c r="L51" s="18">
        <v>990</v>
      </c>
      <c r="M51" s="18">
        <v>990</v>
      </c>
      <c r="N51" s="18">
        <v>990</v>
      </c>
      <c r="O51" s="18">
        <v>990</v>
      </c>
      <c r="P51" s="18">
        <v>990</v>
      </c>
      <c r="Q51" s="18">
        <v>990</v>
      </c>
      <c r="R51" s="18">
        <v>990</v>
      </c>
      <c r="S51" s="18">
        <v>990</v>
      </c>
      <c r="T51" s="18">
        <v>990</v>
      </c>
      <c r="U51" s="18">
        <v>990</v>
      </c>
      <c r="V51" s="18">
        <v>990</v>
      </c>
      <c r="W51" s="18">
        <v>990</v>
      </c>
      <c r="X51" s="18">
        <v>990</v>
      </c>
      <c r="Y51" s="18">
        <v>990</v>
      </c>
      <c r="Z51" s="18">
        <v>990</v>
      </c>
      <c r="AA51" s="18">
        <v>990</v>
      </c>
      <c r="AB51" s="18">
        <v>990</v>
      </c>
      <c r="AC51" s="18">
        <v>990</v>
      </c>
      <c r="AD51" s="18">
        <v>990</v>
      </c>
      <c r="AE51" s="18">
        <v>990</v>
      </c>
      <c r="AF51" s="18">
        <v>990</v>
      </c>
      <c r="AG51" s="18"/>
    </row>
    <row r="52" spans="1:33" x14ac:dyDescent="0.25">
      <c r="A52" s="18" t="s">
        <v>35</v>
      </c>
      <c r="B52" s="18">
        <f t="shared" ref="B52:AF52" si="25">(B5*B51)</f>
        <v>4950</v>
      </c>
      <c r="C52" s="18">
        <f t="shared" si="25"/>
        <v>4950</v>
      </c>
      <c r="D52" s="18">
        <f t="shared" si="25"/>
        <v>4950</v>
      </c>
      <c r="E52" s="18">
        <f t="shared" si="25"/>
        <v>4950</v>
      </c>
      <c r="F52" s="18">
        <f t="shared" si="25"/>
        <v>4950</v>
      </c>
      <c r="G52" s="18">
        <f t="shared" si="25"/>
        <v>4950</v>
      </c>
      <c r="H52" s="18">
        <f t="shared" si="25"/>
        <v>4950</v>
      </c>
      <c r="I52" s="18">
        <f t="shared" si="25"/>
        <v>4950</v>
      </c>
      <c r="J52" s="18">
        <f t="shared" si="25"/>
        <v>4950</v>
      </c>
      <c r="K52" s="18">
        <f t="shared" si="25"/>
        <v>4950</v>
      </c>
      <c r="L52" s="18">
        <f t="shared" si="25"/>
        <v>4950</v>
      </c>
      <c r="M52" s="18">
        <f t="shared" si="25"/>
        <v>4950</v>
      </c>
      <c r="N52" s="18">
        <f t="shared" si="25"/>
        <v>4950</v>
      </c>
      <c r="O52" s="18">
        <f t="shared" si="25"/>
        <v>4950</v>
      </c>
      <c r="P52" s="18">
        <f t="shared" si="25"/>
        <v>4950</v>
      </c>
      <c r="Q52" s="18">
        <f t="shared" si="25"/>
        <v>4950</v>
      </c>
      <c r="R52" s="18">
        <f t="shared" si="25"/>
        <v>4950</v>
      </c>
      <c r="S52" s="18">
        <f t="shared" si="25"/>
        <v>4950</v>
      </c>
      <c r="T52" s="18">
        <f t="shared" si="25"/>
        <v>4950</v>
      </c>
      <c r="U52" s="18">
        <f t="shared" si="25"/>
        <v>4950</v>
      </c>
      <c r="V52" s="18">
        <f t="shared" si="25"/>
        <v>4950</v>
      </c>
      <c r="W52" s="18">
        <f t="shared" si="25"/>
        <v>4950</v>
      </c>
      <c r="X52" s="18">
        <f t="shared" si="25"/>
        <v>4950</v>
      </c>
      <c r="Y52" s="18">
        <f t="shared" si="25"/>
        <v>4950</v>
      </c>
      <c r="Z52" s="18">
        <f t="shared" si="25"/>
        <v>4950</v>
      </c>
      <c r="AA52" s="18">
        <f t="shared" si="25"/>
        <v>4950</v>
      </c>
      <c r="AB52" s="18">
        <f t="shared" si="25"/>
        <v>4950</v>
      </c>
      <c r="AC52" s="18">
        <f t="shared" si="25"/>
        <v>4950</v>
      </c>
      <c r="AD52" s="18">
        <f t="shared" si="25"/>
        <v>4950</v>
      </c>
      <c r="AE52" s="18">
        <f t="shared" si="25"/>
        <v>4950</v>
      </c>
      <c r="AF52" s="18">
        <f t="shared" si="25"/>
        <v>4950</v>
      </c>
      <c r="AG52" s="18"/>
    </row>
    <row r="53" spans="1:33" x14ac:dyDescent="0.25">
      <c r="A53" s="18" t="s">
        <v>86</v>
      </c>
      <c r="B53" s="21">
        <v>880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21">
        <f>SUM(B53:AF53)</f>
        <v>880</v>
      </c>
    </row>
    <row r="54" spans="1:33" x14ac:dyDescent="0.25">
      <c r="A54" s="18" t="s">
        <v>44</v>
      </c>
      <c r="B54" s="20">
        <v>10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/>
    </row>
    <row r="55" spans="1:33" x14ac:dyDescent="0.25">
      <c r="A55" s="18" t="s">
        <v>42</v>
      </c>
      <c r="B55" s="21">
        <f>B54*1</f>
        <v>10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21">
        <f>SUM(B55:AF55)</f>
        <v>10</v>
      </c>
    </row>
    <row r="56" spans="1:33" x14ac:dyDescent="0.25">
      <c r="A56" s="18" t="s">
        <v>38</v>
      </c>
      <c r="B56" s="18">
        <v>4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21"/>
    </row>
    <row r="57" spans="1:33" x14ac:dyDescent="0.25">
      <c r="A57" s="18" t="s">
        <v>18</v>
      </c>
      <c r="B57" s="21">
        <f>SUM(B56*B10)</f>
        <v>440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1">
        <f t="shared" ref="AG57" si="26">SUM(B57:AF57)</f>
        <v>440</v>
      </c>
    </row>
    <row r="58" spans="1:33" x14ac:dyDescent="0.25">
      <c r="A58" s="18" t="s">
        <v>19</v>
      </c>
      <c r="B58" s="20">
        <f>B56*6</f>
        <v>24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/>
    </row>
    <row r="59" spans="1:33" x14ac:dyDescent="0.25">
      <c r="A59" s="18" t="s">
        <v>20</v>
      </c>
      <c r="B59" s="21">
        <f>B58*0.3</f>
        <v>7.1999999999999993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21">
        <f>SUM(B59:AF59)</f>
        <v>7.1999999999999993</v>
      </c>
    </row>
    <row r="60" spans="1:33" x14ac:dyDescent="0.25">
      <c r="A60" s="18" t="s">
        <v>83</v>
      </c>
      <c r="B60" s="21">
        <v>255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21">
        <f>SUM(B60:AF60)</f>
        <v>255</v>
      </c>
    </row>
    <row r="61" spans="1:33" x14ac:dyDescent="0.25">
      <c r="A61" s="18" t="s">
        <v>82</v>
      </c>
      <c r="B61" s="21">
        <v>108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21">
        <f t="shared" ref="AG61:AG65" si="27">SUM(B61:AF61)</f>
        <v>108</v>
      </c>
    </row>
    <row r="62" spans="1:33" x14ac:dyDescent="0.25">
      <c r="A62" s="18" t="s">
        <v>84</v>
      </c>
      <c r="B62" s="20">
        <v>20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21" t="s">
        <v>58</v>
      </c>
    </row>
    <row r="63" spans="1:33" x14ac:dyDescent="0.25">
      <c r="A63" s="18" t="s">
        <v>85</v>
      </c>
      <c r="B63" s="21">
        <f>B62*2.75</f>
        <v>55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21">
        <f t="shared" si="27"/>
        <v>55</v>
      </c>
    </row>
    <row r="64" spans="1:33" x14ac:dyDescent="0.25">
      <c r="A64" s="18" t="s">
        <v>165</v>
      </c>
      <c r="B64" s="21">
        <f>(26*12)</f>
        <v>312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21">
        <f t="shared" si="27"/>
        <v>312</v>
      </c>
    </row>
    <row r="65" spans="1:33" x14ac:dyDescent="0.25">
      <c r="A65" s="18" t="s">
        <v>45</v>
      </c>
      <c r="B65" s="21">
        <f>(0.5*12*12)</f>
        <v>72</v>
      </c>
      <c r="C65" s="21">
        <f>(B65)</f>
        <v>72</v>
      </c>
      <c r="D65" s="21">
        <f t="shared" ref="D65" si="28">(C65)</f>
        <v>72</v>
      </c>
      <c r="E65" s="21">
        <f t="shared" ref="E65" si="29">(D65)</f>
        <v>72</v>
      </c>
      <c r="F65" s="21">
        <f t="shared" ref="F65" si="30">(E65)</f>
        <v>72</v>
      </c>
      <c r="G65" s="21">
        <f t="shared" ref="G65" si="31">(F65)</f>
        <v>72</v>
      </c>
      <c r="H65" s="21">
        <f t="shared" ref="H65" si="32">(G65)</f>
        <v>72</v>
      </c>
      <c r="I65" s="21">
        <f t="shared" ref="I65" si="33">(H65)</f>
        <v>72</v>
      </c>
      <c r="J65" s="21">
        <f t="shared" ref="J65" si="34">(I65)</f>
        <v>72</v>
      </c>
      <c r="K65" s="21">
        <f t="shared" ref="K65" si="35">(J65)</f>
        <v>72</v>
      </c>
      <c r="L65" s="21">
        <f t="shared" ref="L65" si="36">(K65)</f>
        <v>72</v>
      </c>
      <c r="M65" s="21">
        <f t="shared" ref="M65" si="37">(L65)</f>
        <v>72</v>
      </c>
      <c r="N65" s="21">
        <f t="shared" ref="N65" si="38">(M65)</f>
        <v>72</v>
      </c>
      <c r="O65" s="21">
        <f t="shared" ref="O65" si="39">(N65)</f>
        <v>72</v>
      </c>
      <c r="P65" s="21">
        <f t="shared" ref="P65" si="40">(O65)</f>
        <v>72</v>
      </c>
      <c r="Q65" s="21">
        <f t="shared" ref="Q65" si="41">(P65)</f>
        <v>72</v>
      </c>
      <c r="R65" s="21">
        <f t="shared" ref="R65" si="42">(Q65)</f>
        <v>72</v>
      </c>
      <c r="S65" s="21">
        <f t="shared" ref="S65" si="43">(R65)</f>
        <v>72</v>
      </c>
      <c r="T65" s="21">
        <f t="shared" ref="T65" si="44">(S65)</f>
        <v>72</v>
      </c>
      <c r="U65" s="21">
        <f t="shared" ref="U65" si="45">(T65)</f>
        <v>72</v>
      </c>
      <c r="V65" s="21">
        <f t="shared" ref="V65" si="46">(U65)</f>
        <v>72</v>
      </c>
      <c r="W65" s="21">
        <f t="shared" ref="W65" si="47">(V65)</f>
        <v>72</v>
      </c>
      <c r="X65" s="21">
        <f t="shared" ref="X65" si="48">(W65)</f>
        <v>72</v>
      </c>
      <c r="Y65" s="21">
        <f t="shared" ref="Y65" si="49">(X65)</f>
        <v>72</v>
      </c>
      <c r="Z65" s="21">
        <f t="shared" ref="Z65" si="50">(Y65)</f>
        <v>72</v>
      </c>
      <c r="AA65" s="21">
        <f t="shared" ref="AA65" si="51">(Z65)</f>
        <v>72</v>
      </c>
      <c r="AB65" s="21">
        <f t="shared" ref="AB65" si="52">(AA65)</f>
        <v>72</v>
      </c>
      <c r="AC65" s="21">
        <f t="shared" ref="AC65" si="53">(AB65)</f>
        <v>72</v>
      </c>
      <c r="AD65" s="21">
        <f t="shared" ref="AD65" si="54">(AC65)</f>
        <v>72</v>
      </c>
      <c r="AE65" s="21">
        <f t="shared" ref="AE65" si="55">(AD65)</f>
        <v>72</v>
      </c>
      <c r="AF65" s="21">
        <f t="shared" ref="AF65" si="56">(AE65)</f>
        <v>72</v>
      </c>
      <c r="AG65" s="21">
        <f t="shared" si="27"/>
        <v>2232</v>
      </c>
    </row>
    <row r="66" spans="1:33" ht="41.25" customHeight="1" x14ac:dyDescent="0.25">
      <c r="A66" s="18" t="s">
        <v>81</v>
      </c>
      <c r="B66" s="20">
        <v>30</v>
      </c>
      <c r="C66" s="20">
        <f>B66</f>
        <v>30</v>
      </c>
      <c r="D66" s="20">
        <f t="shared" ref="D66:AF66" si="57">C66</f>
        <v>30</v>
      </c>
      <c r="E66" s="20">
        <f t="shared" si="57"/>
        <v>30</v>
      </c>
      <c r="F66" s="20">
        <f t="shared" si="57"/>
        <v>30</v>
      </c>
      <c r="G66" s="20">
        <f t="shared" si="57"/>
        <v>30</v>
      </c>
      <c r="H66" s="20">
        <f t="shared" si="57"/>
        <v>30</v>
      </c>
      <c r="I66" s="20">
        <f t="shared" si="57"/>
        <v>30</v>
      </c>
      <c r="J66" s="20">
        <f t="shared" si="57"/>
        <v>30</v>
      </c>
      <c r="K66" s="20">
        <f t="shared" si="57"/>
        <v>30</v>
      </c>
      <c r="L66" s="20">
        <f t="shared" si="57"/>
        <v>30</v>
      </c>
      <c r="M66" s="20">
        <f t="shared" si="57"/>
        <v>30</v>
      </c>
      <c r="N66" s="20">
        <f t="shared" si="57"/>
        <v>30</v>
      </c>
      <c r="O66" s="20">
        <f t="shared" si="57"/>
        <v>30</v>
      </c>
      <c r="P66" s="20">
        <f t="shared" si="57"/>
        <v>30</v>
      </c>
      <c r="Q66" s="20">
        <f t="shared" si="57"/>
        <v>30</v>
      </c>
      <c r="R66" s="20">
        <f t="shared" si="57"/>
        <v>30</v>
      </c>
      <c r="S66" s="20">
        <f t="shared" si="57"/>
        <v>30</v>
      </c>
      <c r="T66" s="20">
        <f t="shared" si="57"/>
        <v>30</v>
      </c>
      <c r="U66" s="20">
        <f t="shared" si="57"/>
        <v>30</v>
      </c>
      <c r="V66" s="20">
        <f t="shared" si="57"/>
        <v>30</v>
      </c>
      <c r="W66" s="20">
        <f t="shared" si="57"/>
        <v>30</v>
      </c>
      <c r="X66" s="20">
        <f t="shared" si="57"/>
        <v>30</v>
      </c>
      <c r="Y66" s="20">
        <f t="shared" si="57"/>
        <v>30</v>
      </c>
      <c r="Z66" s="20">
        <f t="shared" si="57"/>
        <v>30</v>
      </c>
      <c r="AA66" s="20">
        <f t="shared" si="57"/>
        <v>30</v>
      </c>
      <c r="AB66" s="20">
        <f t="shared" si="57"/>
        <v>30</v>
      </c>
      <c r="AC66" s="20">
        <f t="shared" si="57"/>
        <v>30</v>
      </c>
      <c r="AD66" s="20">
        <f t="shared" si="57"/>
        <v>30</v>
      </c>
      <c r="AE66" s="20">
        <f t="shared" si="57"/>
        <v>30</v>
      </c>
      <c r="AF66" s="20">
        <f t="shared" si="57"/>
        <v>30</v>
      </c>
      <c r="AG66" s="18"/>
    </row>
    <row r="67" spans="1:33" x14ac:dyDescent="0.25">
      <c r="A67" s="18" t="s">
        <v>106</v>
      </c>
      <c r="B67" s="18">
        <f t="shared" ref="B67:AF67" si="58">B66*B43</f>
        <v>570</v>
      </c>
      <c r="C67" s="18">
        <f t="shared" si="58"/>
        <v>570</v>
      </c>
      <c r="D67" s="18">
        <f t="shared" si="58"/>
        <v>570</v>
      </c>
      <c r="E67" s="18">
        <f t="shared" si="58"/>
        <v>570</v>
      </c>
      <c r="F67" s="18">
        <f t="shared" si="58"/>
        <v>570</v>
      </c>
      <c r="G67" s="18">
        <f t="shared" si="58"/>
        <v>570</v>
      </c>
      <c r="H67" s="18">
        <f t="shared" si="58"/>
        <v>570</v>
      </c>
      <c r="I67" s="18">
        <f t="shared" si="58"/>
        <v>570</v>
      </c>
      <c r="J67" s="18">
        <f t="shared" si="58"/>
        <v>570</v>
      </c>
      <c r="K67" s="18">
        <f t="shared" si="58"/>
        <v>570</v>
      </c>
      <c r="L67" s="18">
        <f t="shared" si="58"/>
        <v>570</v>
      </c>
      <c r="M67" s="18">
        <f t="shared" si="58"/>
        <v>570</v>
      </c>
      <c r="N67" s="18">
        <f t="shared" si="58"/>
        <v>570</v>
      </c>
      <c r="O67" s="18">
        <f t="shared" si="58"/>
        <v>570</v>
      </c>
      <c r="P67" s="18">
        <f t="shared" si="58"/>
        <v>570</v>
      </c>
      <c r="Q67" s="18">
        <f t="shared" si="58"/>
        <v>570</v>
      </c>
      <c r="R67" s="18">
        <f t="shared" si="58"/>
        <v>570</v>
      </c>
      <c r="S67" s="18">
        <f t="shared" si="58"/>
        <v>570</v>
      </c>
      <c r="T67" s="18">
        <f t="shared" si="58"/>
        <v>570</v>
      </c>
      <c r="U67" s="18">
        <f t="shared" si="58"/>
        <v>570</v>
      </c>
      <c r="V67" s="18">
        <f t="shared" si="58"/>
        <v>570</v>
      </c>
      <c r="W67" s="18">
        <f t="shared" si="58"/>
        <v>570</v>
      </c>
      <c r="X67" s="18">
        <f t="shared" si="58"/>
        <v>570</v>
      </c>
      <c r="Y67" s="18">
        <f t="shared" si="58"/>
        <v>570</v>
      </c>
      <c r="Z67" s="18">
        <f t="shared" si="58"/>
        <v>570</v>
      </c>
      <c r="AA67" s="18">
        <f t="shared" si="58"/>
        <v>570</v>
      </c>
      <c r="AB67" s="18">
        <f t="shared" si="58"/>
        <v>570</v>
      </c>
      <c r="AC67" s="18">
        <f t="shared" si="58"/>
        <v>570</v>
      </c>
      <c r="AD67" s="18">
        <f t="shared" si="58"/>
        <v>570</v>
      </c>
      <c r="AE67" s="18">
        <f t="shared" si="58"/>
        <v>570</v>
      </c>
      <c r="AF67" s="18">
        <f t="shared" si="58"/>
        <v>570</v>
      </c>
      <c r="AG67" s="18"/>
    </row>
    <row r="68" spans="1:33" s="16" customFormat="1" x14ac:dyDescent="0.25">
      <c r="A68" s="18" t="s">
        <v>130</v>
      </c>
      <c r="B68" s="58">
        <f>(B67*365)</f>
        <v>208050</v>
      </c>
      <c r="C68" s="58">
        <f>($B$68*C2)</f>
        <v>208050</v>
      </c>
      <c r="D68" s="58">
        <f t="shared" ref="D68:AF68" si="59">($B$68*D2)</f>
        <v>416100</v>
      </c>
      <c r="E68" s="58">
        <f t="shared" si="59"/>
        <v>624150</v>
      </c>
      <c r="F68" s="58">
        <f t="shared" si="59"/>
        <v>832200</v>
      </c>
      <c r="G68" s="58">
        <f t="shared" si="59"/>
        <v>1040250</v>
      </c>
      <c r="H68" s="58">
        <f t="shared" si="59"/>
        <v>1248300</v>
      </c>
      <c r="I68" s="58">
        <f t="shared" si="59"/>
        <v>1456350</v>
      </c>
      <c r="J68" s="58">
        <f t="shared" si="59"/>
        <v>1664400</v>
      </c>
      <c r="K68" s="58">
        <f t="shared" si="59"/>
        <v>1872450</v>
      </c>
      <c r="L68" s="58">
        <f t="shared" si="59"/>
        <v>2080500</v>
      </c>
      <c r="M68" s="58">
        <f t="shared" si="59"/>
        <v>2288550</v>
      </c>
      <c r="N68" s="58">
        <f t="shared" si="59"/>
        <v>2496600</v>
      </c>
      <c r="O68" s="58">
        <f t="shared" si="59"/>
        <v>2704650</v>
      </c>
      <c r="P68" s="58">
        <f t="shared" si="59"/>
        <v>2912700</v>
      </c>
      <c r="Q68" s="58">
        <f t="shared" si="59"/>
        <v>3120750</v>
      </c>
      <c r="R68" s="58">
        <f t="shared" si="59"/>
        <v>3328800</v>
      </c>
      <c r="S68" s="58">
        <f t="shared" si="59"/>
        <v>3536850</v>
      </c>
      <c r="T68" s="58">
        <f t="shared" si="59"/>
        <v>3744900</v>
      </c>
      <c r="U68" s="58">
        <f t="shared" si="59"/>
        <v>3952950</v>
      </c>
      <c r="V68" s="58">
        <f t="shared" si="59"/>
        <v>4161000</v>
      </c>
      <c r="W68" s="58">
        <f t="shared" si="59"/>
        <v>4369050</v>
      </c>
      <c r="X68" s="58">
        <f t="shared" si="59"/>
        <v>4577100</v>
      </c>
      <c r="Y68" s="58">
        <f t="shared" si="59"/>
        <v>4785150</v>
      </c>
      <c r="Z68" s="58">
        <f t="shared" si="59"/>
        <v>4993200</v>
      </c>
      <c r="AA68" s="58">
        <f t="shared" si="59"/>
        <v>5201250</v>
      </c>
      <c r="AB68" s="58">
        <f t="shared" si="59"/>
        <v>5409300</v>
      </c>
      <c r="AC68" s="58">
        <f t="shared" si="59"/>
        <v>5617350</v>
      </c>
      <c r="AD68" s="58">
        <f t="shared" si="59"/>
        <v>5825400</v>
      </c>
      <c r="AE68" s="58">
        <f t="shared" si="59"/>
        <v>6033450</v>
      </c>
      <c r="AF68" s="58">
        <f t="shared" si="59"/>
        <v>6241500</v>
      </c>
      <c r="AG68" s="18"/>
    </row>
    <row r="69" spans="1:33" x14ac:dyDescent="0.25">
      <c r="A69" s="18" t="s">
        <v>101</v>
      </c>
      <c r="B69" s="21">
        <f>SUM(B46+B49+B50++B53+B55+B57+B59+B60+B61+B63+B64+B65)</f>
        <v>6830.26</v>
      </c>
      <c r="C69" s="21">
        <f t="shared" ref="C69:AE69" si="60">SUM(C46+C49+C50++C53+C55+C57+C59+C60+C61+C63+C65)</f>
        <v>72</v>
      </c>
      <c r="D69" s="21">
        <f t="shared" si="60"/>
        <v>72</v>
      </c>
      <c r="E69" s="21">
        <f t="shared" si="60"/>
        <v>72</v>
      </c>
      <c r="F69" s="21">
        <f t="shared" si="60"/>
        <v>72</v>
      </c>
      <c r="G69" s="21">
        <f t="shared" si="60"/>
        <v>72</v>
      </c>
      <c r="H69" s="21">
        <f t="shared" si="60"/>
        <v>72</v>
      </c>
      <c r="I69" s="21">
        <f t="shared" si="60"/>
        <v>72</v>
      </c>
      <c r="J69" s="21">
        <f t="shared" si="60"/>
        <v>72</v>
      </c>
      <c r="K69" s="21">
        <f t="shared" si="60"/>
        <v>72</v>
      </c>
      <c r="L69" s="21">
        <f t="shared" si="60"/>
        <v>72</v>
      </c>
      <c r="M69" s="21">
        <f t="shared" si="60"/>
        <v>72</v>
      </c>
      <c r="N69" s="21">
        <f t="shared" si="60"/>
        <v>72</v>
      </c>
      <c r="O69" s="21">
        <f t="shared" si="60"/>
        <v>72</v>
      </c>
      <c r="P69" s="21">
        <f t="shared" si="60"/>
        <v>72</v>
      </c>
      <c r="Q69" s="21">
        <f t="shared" si="60"/>
        <v>72</v>
      </c>
      <c r="R69" s="21">
        <f t="shared" si="60"/>
        <v>72</v>
      </c>
      <c r="S69" s="21">
        <f t="shared" si="60"/>
        <v>72</v>
      </c>
      <c r="T69" s="21">
        <f t="shared" si="60"/>
        <v>72</v>
      </c>
      <c r="U69" s="21">
        <f t="shared" si="60"/>
        <v>72</v>
      </c>
      <c r="V69" s="21">
        <f t="shared" si="60"/>
        <v>72</v>
      </c>
      <c r="W69" s="21">
        <f t="shared" si="60"/>
        <v>72</v>
      </c>
      <c r="X69" s="21">
        <f t="shared" si="60"/>
        <v>72</v>
      </c>
      <c r="Y69" s="21">
        <f t="shared" si="60"/>
        <v>72</v>
      </c>
      <c r="Z69" s="21">
        <f t="shared" si="60"/>
        <v>72</v>
      </c>
      <c r="AA69" s="21">
        <f t="shared" si="60"/>
        <v>72</v>
      </c>
      <c r="AB69" s="21">
        <f t="shared" si="60"/>
        <v>72</v>
      </c>
      <c r="AC69" s="21">
        <f t="shared" si="60"/>
        <v>72</v>
      </c>
      <c r="AD69" s="21">
        <f t="shared" si="60"/>
        <v>72</v>
      </c>
      <c r="AE69" s="21">
        <f t="shared" si="60"/>
        <v>72</v>
      </c>
      <c r="AF69" s="21">
        <f>SUM(AF46+AF49+AF50++AF53+AF55+AF57+AF59+AF60+AF61+AF63+AF65)</f>
        <v>72</v>
      </c>
      <c r="AG69" s="18"/>
    </row>
    <row r="70" spans="1:33" x14ac:dyDescent="0.25">
      <c r="A70" s="18" t="s">
        <v>102</v>
      </c>
      <c r="B70" s="21">
        <f>B69</f>
        <v>6830.26</v>
      </c>
      <c r="C70" s="21">
        <f>B70+C69</f>
        <v>6902.26</v>
      </c>
      <c r="D70" s="21">
        <f t="shared" ref="D70:AF70" si="61">C70+D69</f>
        <v>6974.26</v>
      </c>
      <c r="E70" s="21">
        <f t="shared" si="61"/>
        <v>7046.26</v>
      </c>
      <c r="F70" s="21">
        <f t="shared" si="61"/>
        <v>7118.26</v>
      </c>
      <c r="G70" s="21">
        <f t="shared" si="61"/>
        <v>7190.26</v>
      </c>
      <c r="H70" s="21">
        <f t="shared" si="61"/>
        <v>7262.26</v>
      </c>
      <c r="I70" s="21">
        <f t="shared" si="61"/>
        <v>7334.26</v>
      </c>
      <c r="J70" s="21">
        <f t="shared" si="61"/>
        <v>7406.26</v>
      </c>
      <c r="K70" s="21">
        <f t="shared" si="61"/>
        <v>7478.26</v>
      </c>
      <c r="L70" s="21">
        <f t="shared" si="61"/>
        <v>7550.26</v>
      </c>
      <c r="M70" s="21">
        <f t="shared" si="61"/>
        <v>7622.26</v>
      </c>
      <c r="N70" s="21">
        <f t="shared" si="61"/>
        <v>7694.26</v>
      </c>
      <c r="O70" s="21">
        <f t="shared" si="61"/>
        <v>7766.26</v>
      </c>
      <c r="P70" s="21">
        <f t="shared" si="61"/>
        <v>7838.26</v>
      </c>
      <c r="Q70" s="21">
        <f t="shared" si="61"/>
        <v>7910.26</v>
      </c>
      <c r="R70" s="21">
        <f t="shared" si="61"/>
        <v>7982.26</v>
      </c>
      <c r="S70" s="21">
        <f t="shared" si="61"/>
        <v>8054.26</v>
      </c>
      <c r="T70" s="21">
        <f t="shared" si="61"/>
        <v>8126.26</v>
      </c>
      <c r="U70" s="21">
        <f t="shared" si="61"/>
        <v>8198.26</v>
      </c>
      <c r="V70" s="21">
        <f t="shared" si="61"/>
        <v>8270.26</v>
      </c>
      <c r="W70" s="21">
        <f t="shared" si="61"/>
        <v>8342.26</v>
      </c>
      <c r="X70" s="21">
        <f t="shared" si="61"/>
        <v>8414.26</v>
      </c>
      <c r="Y70" s="21">
        <f t="shared" si="61"/>
        <v>8486.26</v>
      </c>
      <c r="Z70" s="21">
        <f t="shared" si="61"/>
        <v>8558.26</v>
      </c>
      <c r="AA70" s="21">
        <f t="shared" si="61"/>
        <v>8630.26</v>
      </c>
      <c r="AB70" s="21">
        <f t="shared" si="61"/>
        <v>8702.26</v>
      </c>
      <c r="AC70" s="21">
        <f t="shared" si="61"/>
        <v>8774.26</v>
      </c>
      <c r="AD70" s="21">
        <f t="shared" si="61"/>
        <v>8846.26</v>
      </c>
      <c r="AE70" s="21">
        <f t="shared" si="61"/>
        <v>8918.26</v>
      </c>
      <c r="AF70" s="21">
        <f t="shared" si="61"/>
        <v>8990.26</v>
      </c>
      <c r="AG70" s="18"/>
    </row>
    <row r="71" spans="1:33" x14ac:dyDescent="0.25">
      <c r="A71" s="18" t="s">
        <v>103</v>
      </c>
      <c r="B71" s="21">
        <f>SUM(AG46:AG65)</f>
        <v>8990.26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>
        <f>SUM(AG46:AG67)</f>
        <v>8990.26</v>
      </c>
    </row>
    <row r="72" spans="1:33" x14ac:dyDescent="0.25">
      <c r="A72" s="59" t="s">
        <v>113</v>
      </c>
      <c r="B72" s="60">
        <f>B70</f>
        <v>6830.26</v>
      </c>
      <c r="C72" s="60">
        <f>SUM(C70/C2)</f>
        <v>6902.26</v>
      </c>
      <c r="D72" s="60">
        <f t="shared" ref="D72:AF72" si="62">SUM(D70/D2)</f>
        <v>3487.13</v>
      </c>
      <c r="E72" s="60">
        <f t="shared" si="62"/>
        <v>2348.7533333333336</v>
      </c>
      <c r="F72" s="60">
        <f t="shared" si="62"/>
        <v>1779.5650000000001</v>
      </c>
      <c r="G72" s="60">
        <f t="shared" si="62"/>
        <v>1438.0520000000001</v>
      </c>
      <c r="H72" s="60">
        <f t="shared" si="62"/>
        <v>1210.3766666666668</v>
      </c>
      <c r="I72" s="60">
        <f t="shared" si="62"/>
        <v>1047.7514285714285</v>
      </c>
      <c r="J72" s="60">
        <f t="shared" si="62"/>
        <v>925.78250000000003</v>
      </c>
      <c r="K72" s="60">
        <f t="shared" si="62"/>
        <v>830.91777777777781</v>
      </c>
      <c r="L72" s="60">
        <f t="shared" si="62"/>
        <v>755.02600000000007</v>
      </c>
      <c r="M72" s="60">
        <f t="shared" si="62"/>
        <v>692.93272727272733</v>
      </c>
      <c r="N72" s="60">
        <f t="shared" si="62"/>
        <v>641.18833333333339</v>
      </c>
      <c r="O72" s="60">
        <f t="shared" si="62"/>
        <v>597.40461538461545</v>
      </c>
      <c r="P72" s="60">
        <f t="shared" si="62"/>
        <v>559.87571428571425</v>
      </c>
      <c r="Q72" s="60">
        <f t="shared" si="62"/>
        <v>527.35066666666671</v>
      </c>
      <c r="R72" s="60">
        <f t="shared" si="62"/>
        <v>498.89125000000001</v>
      </c>
      <c r="S72" s="60">
        <f t="shared" si="62"/>
        <v>473.78000000000003</v>
      </c>
      <c r="T72" s="60">
        <f t="shared" si="62"/>
        <v>451.45888888888891</v>
      </c>
      <c r="U72" s="60">
        <f t="shared" si="62"/>
        <v>431.48736842105262</v>
      </c>
      <c r="V72" s="60">
        <f t="shared" si="62"/>
        <v>413.51300000000003</v>
      </c>
      <c r="W72" s="60">
        <f t="shared" si="62"/>
        <v>397.25047619047621</v>
      </c>
      <c r="X72" s="60">
        <f t="shared" si="62"/>
        <v>382.46636363636367</v>
      </c>
      <c r="Y72" s="60">
        <f t="shared" si="62"/>
        <v>368.96782608695651</v>
      </c>
      <c r="Z72" s="60">
        <f t="shared" si="62"/>
        <v>356.59416666666669</v>
      </c>
      <c r="AA72" s="60">
        <f t="shared" si="62"/>
        <v>345.21039999999999</v>
      </c>
      <c r="AB72" s="60">
        <f t="shared" si="62"/>
        <v>334.70230769230773</v>
      </c>
      <c r="AC72" s="60">
        <f t="shared" si="62"/>
        <v>324.9725925925926</v>
      </c>
      <c r="AD72" s="60">
        <f t="shared" si="62"/>
        <v>315.93785714285713</v>
      </c>
      <c r="AE72" s="60">
        <f t="shared" si="62"/>
        <v>307.52620689655174</v>
      </c>
      <c r="AF72" s="60">
        <f t="shared" si="62"/>
        <v>299.67533333333336</v>
      </c>
      <c r="AG72" s="60"/>
    </row>
    <row r="73" spans="1:33" s="67" customFormat="1" x14ac:dyDescent="0.25">
      <c r="A73" s="66" t="s">
        <v>108</v>
      </c>
      <c r="B73" s="66">
        <f>(B70/B68)</f>
        <v>3.2829896659456861E-2</v>
      </c>
      <c r="C73" s="66">
        <f t="shared" ref="C73:AF73" si="63">(C70/C68)</f>
        <v>3.317596731554915E-2</v>
      </c>
      <c r="D73" s="66">
        <f t="shared" si="63"/>
        <v>1.6761018985820716E-2</v>
      </c>
      <c r="E73" s="66">
        <f t="shared" si="63"/>
        <v>1.1289369542577907E-2</v>
      </c>
      <c r="F73" s="66">
        <f t="shared" si="63"/>
        <v>8.5535448209565004E-3</v>
      </c>
      <c r="G73" s="66">
        <f t="shared" si="63"/>
        <v>6.9120499879836584E-3</v>
      </c>
      <c r="H73" s="66">
        <f t="shared" si="63"/>
        <v>5.8177200993350959E-3</v>
      </c>
      <c r="I73" s="66">
        <f t="shared" si="63"/>
        <v>5.0360558931575516E-3</v>
      </c>
      <c r="J73" s="66">
        <f t="shared" si="63"/>
        <v>4.4498077385243936E-3</v>
      </c>
      <c r="K73" s="66">
        <f t="shared" si="63"/>
        <v>3.9938369515874926E-3</v>
      </c>
      <c r="L73" s="66">
        <f t="shared" si="63"/>
        <v>3.6290603220379717E-3</v>
      </c>
      <c r="M73" s="66">
        <f t="shared" si="63"/>
        <v>3.3306067160429093E-3</v>
      </c>
      <c r="N73" s="66">
        <f t="shared" si="63"/>
        <v>3.0818953777136909E-3</v>
      </c>
      <c r="O73" s="66">
        <f t="shared" si="63"/>
        <v>2.8714473222043518E-3</v>
      </c>
      <c r="P73" s="66">
        <f t="shared" si="63"/>
        <v>2.6910632746249183E-3</v>
      </c>
      <c r="Q73" s="66">
        <f t="shared" si="63"/>
        <v>2.5347304333894097E-3</v>
      </c>
      <c r="R73" s="66">
        <f t="shared" si="63"/>
        <v>2.3979391973083393E-3</v>
      </c>
      <c r="S73" s="66">
        <f t="shared" si="63"/>
        <v>2.2772410478250423E-3</v>
      </c>
      <c r="T73" s="66">
        <f t="shared" si="63"/>
        <v>2.1699538038398888E-3</v>
      </c>
      <c r="U73" s="66">
        <f t="shared" si="63"/>
        <v>2.0739599539584363E-3</v>
      </c>
      <c r="V73" s="66">
        <f t="shared" si="63"/>
        <v>1.9875654890651288E-3</v>
      </c>
      <c r="W73" s="66">
        <f t="shared" si="63"/>
        <v>1.9093990684473743E-3</v>
      </c>
      <c r="X73" s="66">
        <f t="shared" si="63"/>
        <v>1.8383386860675974E-3</v>
      </c>
      <c r="Y73" s="66">
        <f t="shared" si="63"/>
        <v>1.7734574673730187E-3</v>
      </c>
      <c r="Z73" s="66">
        <f t="shared" si="63"/>
        <v>1.7139830169029882E-3</v>
      </c>
      <c r="AA73" s="66">
        <f t="shared" si="63"/>
        <v>1.65926652247056E-3</v>
      </c>
      <c r="AB73" s="66">
        <f t="shared" si="63"/>
        <v>1.6087589891483187E-3</v>
      </c>
      <c r="AC73" s="66">
        <f t="shared" si="63"/>
        <v>1.5619927545906878E-3</v>
      </c>
      <c r="AD73" s="66">
        <f t="shared" si="63"/>
        <v>1.5185669653586019E-3</v>
      </c>
      <c r="AE73" s="66">
        <f t="shared" si="63"/>
        <v>1.4781360581425222E-3</v>
      </c>
      <c r="AF73" s="66">
        <f t="shared" si="63"/>
        <v>1.4404005447408476E-3</v>
      </c>
      <c r="AG73" s="66"/>
    </row>
    <row r="74" spans="1:33" x14ac:dyDescent="0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9"/>
      <c r="AA74" s="48"/>
      <c r="AB74" s="48"/>
      <c r="AC74" s="48"/>
      <c r="AD74" s="48"/>
      <c r="AE74" s="48"/>
      <c r="AF74" s="48"/>
      <c r="AG74" s="48"/>
    </row>
    <row r="75" spans="1:33" x14ac:dyDescent="0.25">
      <c r="A75" s="23" t="s">
        <v>72</v>
      </c>
      <c r="B75" s="24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9"/>
      <c r="AA75" s="48"/>
      <c r="AB75" s="48"/>
      <c r="AC75" s="48"/>
      <c r="AD75" s="48"/>
      <c r="AE75" s="48"/>
      <c r="AF75" s="48"/>
      <c r="AG75" s="48"/>
    </row>
    <row r="76" spans="1:33" x14ac:dyDescent="0.25">
      <c r="A76" s="24" t="s">
        <v>135</v>
      </c>
      <c r="B76" s="25">
        <f>(B22/B18)</f>
        <v>7.771428571428574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9"/>
      <c r="AA76" s="48"/>
      <c r="AB76" s="48"/>
      <c r="AC76" s="48"/>
      <c r="AD76" s="48"/>
      <c r="AE76" s="48"/>
      <c r="AF76" s="48"/>
      <c r="AG76" s="48"/>
    </row>
    <row r="77" spans="1:33" x14ac:dyDescent="0.25">
      <c r="A77" s="24" t="s">
        <v>136</v>
      </c>
      <c r="B77" s="25">
        <f>(B38/B34)</f>
        <v>2.1561827956989243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9"/>
      <c r="AA77" s="48"/>
      <c r="AB77" s="48"/>
      <c r="AC77" s="48"/>
      <c r="AD77" s="48"/>
      <c r="AE77" s="48"/>
      <c r="AF77" s="48"/>
      <c r="AG77" s="48"/>
    </row>
    <row r="78" spans="1:33" x14ac:dyDescent="0.25">
      <c r="A78" s="24" t="s">
        <v>137</v>
      </c>
      <c r="B78" s="25">
        <f>(B71/B67)</f>
        <v>15.772385964912282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9"/>
      <c r="AA78" s="48"/>
      <c r="AB78" s="48"/>
      <c r="AC78" s="48"/>
      <c r="AD78" s="48"/>
      <c r="AE78" s="48"/>
      <c r="AF78" s="48"/>
      <c r="AG78" s="48"/>
    </row>
    <row r="79" spans="1:33" x14ac:dyDescent="0.25">
      <c r="B79" s="5"/>
    </row>
    <row r="81" spans="1:33" x14ac:dyDescent="0.25">
      <c r="A81" s="28" t="s">
        <v>73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0"/>
      <c r="AA81" s="29"/>
      <c r="AB81" s="29"/>
      <c r="AC81" s="29"/>
      <c r="AD81" s="29"/>
      <c r="AE81" s="29"/>
      <c r="AF81" s="29"/>
      <c r="AG81" s="29"/>
    </row>
    <row r="82" spans="1:33" x14ac:dyDescent="0.25">
      <c r="A82" s="29" t="s">
        <v>25</v>
      </c>
      <c r="B82" s="29">
        <v>3</v>
      </c>
      <c r="C82" s="29">
        <f>(B82)</f>
        <v>3</v>
      </c>
      <c r="D82" s="29">
        <f t="shared" ref="D82:AF83" si="64">(C82)</f>
        <v>3</v>
      </c>
      <c r="E82" s="29">
        <f t="shared" si="64"/>
        <v>3</v>
      </c>
      <c r="F82" s="29">
        <f t="shared" si="64"/>
        <v>3</v>
      </c>
      <c r="G82" s="29">
        <f t="shared" si="64"/>
        <v>3</v>
      </c>
      <c r="H82" s="29">
        <f t="shared" si="64"/>
        <v>3</v>
      </c>
      <c r="I82" s="29">
        <f t="shared" si="64"/>
        <v>3</v>
      </c>
      <c r="J82" s="29">
        <f t="shared" si="64"/>
        <v>3</v>
      </c>
      <c r="K82" s="29">
        <f t="shared" si="64"/>
        <v>3</v>
      </c>
      <c r="L82" s="29">
        <f t="shared" si="64"/>
        <v>3</v>
      </c>
      <c r="M82" s="29">
        <f t="shared" si="64"/>
        <v>3</v>
      </c>
      <c r="N82" s="29">
        <f t="shared" si="64"/>
        <v>3</v>
      </c>
      <c r="O82" s="29">
        <f t="shared" si="64"/>
        <v>3</v>
      </c>
      <c r="P82" s="29">
        <f t="shared" si="64"/>
        <v>3</v>
      </c>
      <c r="Q82" s="29">
        <f t="shared" si="64"/>
        <v>3</v>
      </c>
      <c r="R82" s="29">
        <f t="shared" si="64"/>
        <v>3</v>
      </c>
      <c r="S82" s="29">
        <f t="shared" si="64"/>
        <v>3</v>
      </c>
      <c r="T82" s="29">
        <f t="shared" si="64"/>
        <v>3</v>
      </c>
      <c r="U82" s="29">
        <f t="shared" si="64"/>
        <v>3</v>
      </c>
      <c r="V82" s="29">
        <f t="shared" si="64"/>
        <v>3</v>
      </c>
      <c r="W82" s="29">
        <f t="shared" si="64"/>
        <v>3</v>
      </c>
      <c r="X82" s="29">
        <f t="shared" si="64"/>
        <v>3</v>
      </c>
      <c r="Y82" s="29">
        <f t="shared" si="64"/>
        <v>3</v>
      </c>
      <c r="Z82" s="29">
        <f t="shared" si="64"/>
        <v>3</v>
      </c>
      <c r="AA82" s="29">
        <f t="shared" si="64"/>
        <v>3</v>
      </c>
      <c r="AB82" s="29">
        <f t="shared" si="64"/>
        <v>3</v>
      </c>
      <c r="AC82" s="29">
        <f t="shared" si="64"/>
        <v>3</v>
      </c>
      <c r="AD82" s="29">
        <f t="shared" si="64"/>
        <v>3</v>
      </c>
      <c r="AE82" s="29">
        <f t="shared" si="64"/>
        <v>3</v>
      </c>
      <c r="AF82" s="29">
        <f t="shared" si="64"/>
        <v>3</v>
      </c>
      <c r="AG82" s="29"/>
    </row>
    <row r="83" spans="1:33" x14ac:dyDescent="0.25">
      <c r="A83" s="61" t="s">
        <v>31</v>
      </c>
      <c r="B83" s="29">
        <v>19</v>
      </c>
      <c r="C83" s="29">
        <f>(B83)</f>
        <v>19</v>
      </c>
      <c r="D83" s="29">
        <f t="shared" si="64"/>
        <v>19</v>
      </c>
      <c r="E83" s="29">
        <f t="shared" si="64"/>
        <v>19</v>
      </c>
      <c r="F83" s="29">
        <f t="shared" si="64"/>
        <v>19</v>
      </c>
      <c r="G83" s="29">
        <f t="shared" si="64"/>
        <v>19</v>
      </c>
      <c r="H83" s="29">
        <f t="shared" si="64"/>
        <v>19</v>
      </c>
      <c r="I83" s="29">
        <f t="shared" si="64"/>
        <v>19</v>
      </c>
      <c r="J83" s="29">
        <f t="shared" si="64"/>
        <v>19</v>
      </c>
      <c r="K83" s="29">
        <f t="shared" si="64"/>
        <v>19</v>
      </c>
      <c r="L83" s="29">
        <f t="shared" si="64"/>
        <v>19</v>
      </c>
      <c r="M83" s="29">
        <f t="shared" si="64"/>
        <v>19</v>
      </c>
      <c r="N83" s="29">
        <f t="shared" si="64"/>
        <v>19</v>
      </c>
      <c r="O83" s="29">
        <f t="shared" si="64"/>
        <v>19</v>
      </c>
      <c r="P83" s="29">
        <f t="shared" si="64"/>
        <v>19</v>
      </c>
      <c r="Q83" s="29">
        <f t="shared" si="64"/>
        <v>19</v>
      </c>
      <c r="R83" s="29">
        <f t="shared" si="64"/>
        <v>19</v>
      </c>
      <c r="S83" s="29">
        <f t="shared" si="64"/>
        <v>19</v>
      </c>
      <c r="T83" s="29">
        <f t="shared" si="64"/>
        <v>19</v>
      </c>
      <c r="U83" s="29">
        <f t="shared" si="64"/>
        <v>19</v>
      </c>
      <c r="V83" s="29">
        <f t="shared" si="64"/>
        <v>19</v>
      </c>
      <c r="W83" s="29">
        <f t="shared" si="64"/>
        <v>19</v>
      </c>
      <c r="X83" s="29">
        <f t="shared" si="64"/>
        <v>19</v>
      </c>
      <c r="Y83" s="29">
        <f t="shared" si="64"/>
        <v>19</v>
      </c>
      <c r="Z83" s="29">
        <f t="shared" si="64"/>
        <v>19</v>
      </c>
      <c r="AA83" s="29">
        <f t="shared" si="64"/>
        <v>19</v>
      </c>
      <c r="AB83" s="29">
        <f t="shared" si="64"/>
        <v>19</v>
      </c>
      <c r="AC83" s="29">
        <f t="shared" si="64"/>
        <v>19</v>
      </c>
      <c r="AD83" s="29">
        <f t="shared" si="64"/>
        <v>19</v>
      </c>
      <c r="AE83" s="29">
        <f t="shared" si="64"/>
        <v>19</v>
      </c>
      <c r="AF83" s="29">
        <f t="shared" si="64"/>
        <v>19</v>
      </c>
      <c r="AG83" s="29"/>
    </row>
    <row r="84" spans="1:33" x14ac:dyDescent="0.25">
      <c r="A84" s="61" t="s">
        <v>50</v>
      </c>
      <c r="B84" s="29">
        <f>(B82*B83)</f>
        <v>57</v>
      </c>
      <c r="C84" s="29">
        <f t="shared" ref="C84:AF84" si="65">(C82*C83)</f>
        <v>57</v>
      </c>
      <c r="D84" s="29">
        <f t="shared" si="65"/>
        <v>57</v>
      </c>
      <c r="E84" s="29">
        <f t="shared" si="65"/>
        <v>57</v>
      </c>
      <c r="F84" s="29">
        <f t="shared" si="65"/>
        <v>57</v>
      </c>
      <c r="G84" s="29">
        <f t="shared" si="65"/>
        <v>57</v>
      </c>
      <c r="H84" s="29">
        <f t="shared" si="65"/>
        <v>57</v>
      </c>
      <c r="I84" s="29">
        <f t="shared" si="65"/>
        <v>57</v>
      </c>
      <c r="J84" s="29">
        <f t="shared" si="65"/>
        <v>57</v>
      </c>
      <c r="K84" s="29">
        <f t="shared" si="65"/>
        <v>57</v>
      </c>
      <c r="L84" s="29">
        <f t="shared" si="65"/>
        <v>57</v>
      </c>
      <c r="M84" s="29">
        <f t="shared" si="65"/>
        <v>57</v>
      </c>
      <c r="N84" s="29">
        <f t="shared" si="65"/>
        <v>57</v>
      </c>
      <c r="O84" s="29">
        <f t="shared" si="65"/>
        <v>57</v>
      </c>
      <c r="P84" s="29">
        <f t="shared" si="65"/>
        <v>57</v>
      </c>
      <c r="Q84" s="29">
        <f t="shared" si="65"/>
        <v>57</v>
      </c>
      <c r="R84" s="29">
        <f t="shared" si="65"/>
        <v>57</v>
      </c>
      <c r="S84" s="29">
        <f t="shared" si="65"/>
        <v>57</v>
      </c>
      <c r="T84" s="29">
        <f t="shared" si="65"/>
        <v>57</v>
      </c>
      <c r="U84" s="29">
        <f t="shared" si="65"/>
        <v>57</v>
      </c>
      <c r="V84" s="29">
        <f t="shared" si="65"/>
        <v>57</v>
      </c>
      <c r="W84" s="29">
        <f t="shared" si="65"/>
        <v>57</v>
      </c>
      <c r="X84" s="29">
        <f t="shared" si="65"/>
        <v>57</v>
      </c>
      <c r="Y84" s="29">
        <f t="shared" si="65"/>
        <v>57</v>
      </c>
      <c r="Z84" s="29">
        <f t="shared" si="65"/>
        <v>57</v>
      </c>
      <c r="AA84" s="29">
        <f t="shared" si="65"/>
        <v>57</v>
      </c>
      <c r="AB84" s="29">
        <f t="shared" si="65"/>
        <v>57</v>
      </c>
      <c r="AC84" s="29">
        <f t="shared" si="65"/>
        <v>57</v>
      </c>
      <c r="AD84" s="29">
        <f t="shared" si="65"/>
        <v>57</v>
      </c>
      <c r="AE84" s="29">
        <f t="shared" si="65"/>
        <v>57</v>
      </c>
      <c r="AF84" s="29">
        <f t="shared" si="65"/>
        <v>57</v>
      </c>
      <c r="AG84" s="29"/>
    </row>
    <row r="85" spans="1:33" x14ac:dyDescent="0.25">
      <c r="A85" s="61" t="s">
        <v>39</v>
      </c>
      <c r="B85" s="62">
        <f>(B84*(4.25*60))</f>
        <v>14535</v>
      </c>
      <c r="C85" s="62">
        <f t="shared" ref="C85:AF85" si="66">(C84*(4.25*60))</f>
        <v>14535</v>
      </c>
      <c r="D85" s="62">
        <f t="shared" si="66"/>
        <v>14535</v>
      </c>
      <c r="E85" s="62">
        <f t="shared" si="66"/>
        <v>14535</v>
      </c>
      <c r="F85" s="62">
        <f t="shared" si="66"/>
        <v>14535</v>
      </c>
      <c r="G85" s="62">
        <f t="shared" si="66"/>
        <v>14535</v>
      </c>
      <c r="H85" s="62">
        <f t="shared" si="66"/>
        <v>14535</v>
      </c>
      <c r="I85" s="62">
        <f t="shared" si="66"/>
        <v>14535</v>
      </c>
      <c r="J85" s="62">
        <f t="shared" si="66"/>
        <v>14535</v>
      </c>
      <c r="K85" s="62">
        <f t="shared" si="66"/>
        <v>14535</v>
      </c>
      <c r="L85" s="62">
        <f t="shared" si="66"/>
        <v>14535</v>
      </c>
      <c r="M85" s="62">
        <f t="shared" si="66"/>
        <v>14535</v>
      </c>
      <c r="N85" s="62">
        <f t="shared" si="66"/>
        <v>14535</v>
      </c>
      <c r="O85" s="62">
        <f t="shared" si="66"/>
        <v>14535</v>
      </c>
      <c r="P85" s="62">
        <f t="shared" si="66"/>
        <v>14535</v>
      </c>
      <c r="Q85" s="62">
        <f t="shared" si="66"/>
        <v>14535</v>
      </c>
      <c r="R85" s="62">
        <f t="shared" si="66"/>
        <v>14535</v>
      </c>
      <c r="S85" s="62">
        <f t="shared" si="66"/>
        <v>14535</v>
      </c>
      <c r="T85" s="62">
        <f t="shared" si="66"/>
        <v>14535</v>
      </c>
      <c r="U85" s="62">
        <f t="shared" si="66"/>
        <v>14535</v>
      </c>
      <c r="V85" s="62">
        <f t="shared" si="66"/>
        <v>14535</v>
      </c>
      <c r="W85" s="62">
        <f t="shared" si="66"/>
        <v>14535</v>
      </c>
      <c r="X85" s="62">
        <f t="shared" si="66"/>
        <v>14535</v>
      </c>
      <c r="Y85" s="62">
        <f t="shared" si="66"/>
        <v>14535</v>
      </c>
      <c r="Z85" s="62">
        <f t="shared" si="66"/>
        <v>14535</v>
      </c>
      <c r="AA85" s="62">
        <f t="shared" si="66"/>
        <v>14535</v>
      </c>
      <c r="AB85" s="62">
        <f t="shared" si="66"/>
        <v>14535</v>
      </c>
      <c r="AC85" s="62">
        <f t="shared" si="66"/>
        <v>14535</v>
      </c>
      <c r="AD85" s="62">
        <f t="shared" si="66"/>
        <v>14535</v>
      </c>
      <c r="AE85" s="62">
        <f t="shared" si="66"/>
        <v>14535</v>
      </c>
      <c r="AF85" s="62">
        <f t="shared" si="66"/>
        <v>14535</v>
      </c>
      <c r="AG85" s="29"/>
    </row>
    <row r="86" spans="1:33" x14ac:dyDescent="0.25">
      <c r="A86" s="29" t="s">
        <v>32</v>
      </c>
      <c r="B86" s="29">
        <f>MROUND(B85*2,1000)</f>
        <v>29000</v>
      </c>
      <c r="C86" s="29">
        <f t="shared" ref="C86" si="67">MROUND(C85*2,1000)</f>
        <v>29000</v>
      </c>
      <c r="D86" s="29">
        <f t="shared" ref="D86" si="68">MROUND(D85*2,1000)</f>
        <v>29000</v>
      </c>
      <c r="E86" s="29">
        <f t="shared" ref="E86" si="69">MROUND(E85*2,1000)</f>
        <v>29000</v>
      </c>
      <c r="F86" s="29">
        <f t="shared" ref="F86" si="70">MROUND(F85*2,1000)</f>
        <v>29000</v>
      </c>
      <c r="G86" s="29">
        <f t="shared" ref="G86" si="71">MROUND(G85*2,1000)</f>
        <v>29000</v>
      </c>
      <c r="H86" s="29">
        <f t="shared" ref="H86" si="72">MROUND(H85*2,1000)</f>
        <v>29000</v>
      </c>
      <c r="I86" s="29">
        <f t="shared" ref="I86" si="73">MROUND(I85*2,1000)</f>
        <v>29000</v>
      </c>
      <c r="J86" s="29">
        <f t="shared" ref="J86" si="74">MROUND(J85*2,1000)</f>
        <v>29000</v>
      </c>
      <c r="K86" s="29">
        <f t="shared" ref="K86" si="75">MROUND(K85*2,1000)</f>
        <v>29000</v>
      </c>
      <c r="L86" s="29">
        <f t="shared" ref="L86" si="76">MROUND(L85*2,1000)</f>
        <v>29000</v>
      </c>
      <c r="M86" s="29">
        <f t="shared" ref="M86" si="77">MROUND(M85*2,1000)</f>
        <v>29000</v>
      </c>
      <c r="N86" s="29">
        <f t="shared" ref="N86" si="78">MROUND(N85*2,1000)</f>
        <v>29000</v>
      </c>
      <c r="O86" s="29">
        <f t="shared" ref="O86" si="79">MROUND(O85*2,1000)</f>
        <v>29000</v>
      </c>
      <c r="P86" s="29">
        <f t="shared" ref="P86" si="80">MROUND(P85*2,1000)</f>
        <v>29000</v>
      </c>
      <c r="Q86" s="29">
        <f t="shared" ref="Q86" si="81">MROUND(Q85*2,1000)</f>
        <v>29000</v>
      </c>
      <c r="R86" s="29">
        <f t="shared" ref="R86" si="82">MROUND(R85*2,1000)</f>
        <v>29000</v>
      </c>
      <c r="S86" s="29">
        <f t="shared" ref="S86" si="83">MROUND(S85*2,1000)</f>
        <v>29000</v>
      </c>
      <c r="T86" s="29">
        <f t="shared" ref="T86" si="84">MROUND(T85*2,1000)</f>
        <v>29000</v>
      </c>
      <c r="U86" s="29">
        <f t="shared" ref="U86" si="85">MROUND(U85*2,1000)</f>
        <v>29000</v>
      </c>
      <c r="V86" s="29">
        <f t="shared" ref="V86" si="86">MROUND(V85*2,1000)</f>
        <v>29000</v>
      </c>
      <c r="W86" s="29">
        <f t="shared" ref="W86" si="87">MROUND(W85*2,1000)</f>
        <v>29000</v>
      </c>
      <c r="X86" s="29">
        <f t="shared" ref="X86" si="88">MROUND(X85*2,1000)</f>
        <v>29000</v>
      </c>
      <c r="Y86" s="29">
        <f t="shared" ref="Y86" si="89">MROUND(Y85*2,1000)</f>
        <v>29000</v>
      </c>
      <c r="Z86" s="29">
        <f t="shared" ref="Z86" si="90">MROUND(Z85*2,1000)</f>
        <v>29000</v>
      </c>
      <c r="AA86" s="29">
        <f t="shared" ref="AA86" si="91">MROUND(AA85*2,1000)</f>
        <v>29000</v>
      </c>
      <c r="AB86" s="29">
        <f t="shared" ref="AB86" si="92">MROUND(AB85*2,1000)</f>
        <v>29000</v>
      </c>
      <c r="AC86" s="29">
        <f t="shared" ref="AC86" si="93">MROUND(AC85*2,1000)</f>
        <v>29000</v>
      </c>
      <c r="AD86" s="29">
        <f t="shared" ref="AD86" si="94">MROUND(AD85*2,1000)</f>
        <v>29000</v>
      </c>
      <c r="AE86" s="29">
        <f t="shared" ref="AE86" si="95">MROUND(AE85*2,1000)</f>
        <v>29000</v>
      </c>
      <c r="AF86" s="29">
        <f t="shared" ref="AF86" si="96">MROUND(AF85*2,1000)</f>
        <v>29000</v>
      </c>
      <c r="AG86" s="29"/>
    </row>
    <row r="87" spans="1:33" x14ac:dyDescent="0.25">
      <c r="A87" s="29" t="s">
        <v>51</v>
      </c>
      <c r="B87" s="32">
        <f>(ROUNDUP(B86,0)*0.035)</f>
        <v>1015.0000000000001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/>
    </row>
    <row r="88" spans="1:33" x14ac:dyDescent="0.25">
      <c r="A88" s="29" t="s">
        <v>52</v>
      </c>
      <c r="B88" s="32">
        <f>(2*(10*12))+50+250</f>
        <v>540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32">
        <f>SUM(B88:AF88)</f>
        <v>540</v>
      </c>
    </row>
    <row r="89" spans="1:33" x14ac:dyDescent="0.25">
      <c r="A89" s="29" t="s">
        <v>57</v>
      </c>
      <c r="B89" s="63">
        <f>(B88/B86)</f>
        <v>1.8620689655172412E-2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32"/>
    </row>
    <row r="90" spans="1:33" x14ac:dyDescent="0.25">
      <c r="A90" s="29" t="s">
        <v>29</v>
      </c>
      <c r="B90" s="32">
        <v>187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32">
        <f t="shared" ref="AG90:AG111" si="97">SUM(B90:AF90)</f>
        <v>187</v>
      </c>
    </row>
    <row r="91" spans="1:33" x14ac:dyDescent="0.25">
      <c r="A91" s="29" t="s">
        <v>37</v>
      </c>
      <c r="B91" s="29">
        <f>B90*2</f>
        <v>374</v>
      </c>
      <c r="C91" s="29">
        <f t="shared" ref="C91" si="98">C90*2</f>
        <v>0</v>
      </c>
      <c r="D91" s="29">
        <f t="shared" ref="D91" si="99">D90*2</f>
        <v>0</v>
      </c>
      <c r="E91" s="29">
        <f t="shared" ref="E91" si="100">E90*2</f>
        <v>0</v>
      </c>
      <c r="F91" s="29">
        <f t="shared" ref="F91" si="101">F90*2</f>
        <v>0</v>
      </c>
      <c r="G91" s="29">
        <f t="shared" ref="G91" si="102">G90*2</f>
        <v>0</v>
      </c>
      <c r="H91" s="29">
        <f t="shared" ref="H91" si="103">H90*2</f>
        <v>0</v>
      </c>
      <c r="I91" s="29">
        <f t="shared" ref="I91" si="104">I90*2</f>
        <v>0</v>
      </c>
      <c r="J91" s="29">
        <f t="shared" ref="J91" si="105">J90*2</f>
        <v>0</v>
      </c>
      <c r="K91" s="29">
        <f t="shared" ref="K91" si="106">K90*2</f>
        <v>0</v>
      </c>
      <c r="L91" s="29">
        <f t="shared" ref="L91" si="107">L90*2</f>
        <v>0</v>
      </c>
      <c r="M91" s="29">
        <f t="shared" ref="M91" si="108">M90*2</f>
        <v>0</v>
      </c>
      <c r="N91" s="29">
        <f t="shared" ref="N91" si="109">N90*2</f>
        <v>0</v>
      </c>
      <c r="O91" s="29">
        <f t="shared" ref="O91" si="110">O90*2</f>
        <v>0</v>
      </c>
      <c r="P91" s="29">
        <f t="shared" ref="P91" si="111">P90*2</f>
        <v>0</v>
      </c>
      <c r="Q91" s="29">
        <f t="shared" ref="Q91" si="112">Q90*2</f>
        <v>0</v>
      </c>
      <c r="R91" s="29">
        <f t="shared" ref="R91" si="113">R90*2</f>
        <v>0</v>
      </c>
      <c r="S91" s="29">
        <f t="shared" ref="S91" si="114">S90*2</f>
        <v>0</v>
      </c>
      <c r="T91" s="29">
        <f t="shared" ref="T91" si="115">T90*2</f>
        <v>0</v>
      </c>
      <c r="U91" s="29">
        <f t="shared" ref="U91" si="116">U90*2</f>
        <v>0</v>
      </c>
      <c r="V91" s="29">
        <f t="shared" ref="V91" si="117">V90*2</f>
        <v>0</v>
      </c>
      <c r="W91" s="29">
        <f t="shared" ref="W91" si="118">W90*2</f>
        <v>0</v>
      </c>
      <c r="X91" s="29">
        <f t="shared" ref="X91" si="119">X90*2</f>
        <v>0</v>
      </c>
      <c r="Y91" s="29">
        <f t="shared" ref="Y91" si="120">Y90*2</f>
        <v>0</v>
      </c>
      <c r="Z91" s="29">
        <f t="shared" ref="Z91" si="121">Z90*2</f>
        <v>0</v>
      </c>
      <c r="AA91" s="29">
        <f t="shared" ref="AA91" si="122">AA90*2</f>
        <v>0</v>
      </c>
      <c r="AB91" s="29">
        <f t="shared" ref="AB91" si="123">AB90*2</f>
        <v>0</v>
      </c>
      <c r="AC91" s="29">
        <f t="shared" ref="AC91" si="124">AC90*2</f>
        <v>0</v>
      </c>
      <c r="AD91" s="29">
        <f t="shared" ref="AD91" si="125">AD90*2</f>
        <v>0</v>
      </c>
      <c r="AE91" s="29">
        <f t="shared" ref="AE91" si="126">AE90*2</f>
        <v>0</v>
      </c>
      <c r="AF91" s="29">
        <f t="shared" ref="AF91" si="127">AF90*2</f>
        <v>0</v>
      </c>
      <c r="AG91" s="29"/>
    </row>
    <row r="92" spans="1:33" x14ac:dyDescent="0.25">
      <c r="A92" s="29" t="s">
        <v>36</v>
      </c>
      <c r="B92" s="32">
        <f>ROUNDUP(B91,100)*0.19</f>
        <v>71.06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32">
        <f t="shared" si="97"/>
        <v>71.06</v>
      </c>
    </row>
    <row r="93" spans="1:33" x14ac:dyDescent="0.25">
      <c r="A93" s="29" t="s">
        <v>4</v>
      </c>
      <c r="B93" s="32">
        <f>ROUNDUP(B91/100,0)*5</f>
        <v>20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32">
        <f t="shared" si="97"/>
        <v>20</v>
      </c>
    </row>
    <row r="94" spans="1:33" x14ac:dyDescent="0.25">
      <c r="A94" s="29" t="s">
        <v>34</v>
      </c>
      <c r="B94" s="29">
        <v>990</v>
      </c>
      <c r="C94" s="29">
        <v>990</v>
      </c>
      <c r="D94" s="29">
        <v>990</v>
      </c>
      <c r="E94" s="29">
        <v>990</v>
      </c>
      <c r="F94" s="29">
        <v>990</v>
      </c>
      <c r="G94" s="29">
        <v>990</v>
      </c>
      <c r="H94" s="29">
        <v>990</v>
      </c>
      <c r="I94" s="29">
        <v>990</v>
      </c>
      <c r="J94" s="29">
        <v>990</v>
      </c>
      <c r="K94" s="29">
        <v>990</v>
      </c>
      <c r="L94" s="29">
        <v>990</v>
      </c>
      <c r="M94" s="29">
        <v>990</v>
      </c>
      <c r="N94" s="29">
        <v>990</v>
      </c>
      <c r="O94" s="29">
        <v>990</v>
      </c>
      <c r="P94" s="29">
        <v>990</v>
      </c>
      <c r="Q94" s="29">
        <v>990</v>
      </c>
      <c r="R94" s="29">
        <v>990</v>
      </c>
      <c r="S94" s="29">
        <v>990</v>
      </c>
      <c r="T94" s="29">
        <v>990</v>
      </c>
      <c r="U94" s="29">
        <v>990</v>
      </c>
      <c r="V94" s="29">
        <v>990</v>
      </c>
      <c r="W94" s="29">
        <v>990</v>
      </c>
      <c r="X94" s="29">
        <v>990</v>
      </c>
      <c r="Y94" s="29">
        <v>990</v>
      </c>
      <c r="Z94" s="29">
        <v>990</v>
      </c>
      <c r="AA94" s="29">
        <v>990</v>
      </c>
      <c r="AB94" s="29">
        <v>990</v>
      </c>
      <c r="AC94" s="29">
        <v>990</v>
      </c>
      <c r="AD94" s="29">
        <v>990</v>
      </c>
      <c r="AE94" s="29">
        <v>990</v>
      </c>
      <c r="AF94" s="29">
        <v>990</v>
      </c>
      <c r="AG94" s="29"/>
    </row>
    <row r="95" spans="1:33" x14ac:dyDescent="0.25">
      <c r="A95" s="29" t="s">
        <v>35</v>
      </c>
      <c r="B95" s="29">
        <f t="shared" ref="B95:AF95" si="128">(B5*B94)</f>
        <v>4950</v>
      </c>
      <c r="C95" s="29">
        <f t="shared" si="128"/>
        <v>4950</v>
      </c>
      <c r="D95" s="29">
        <f t="shared" si="128"/>
        <v>4950</v>
      </c>
      <c r="E95" s="29">
        <f t="shared" si="128"/>
        <v>4950</v>
      </c>
      <c r="F95" s="29">
        <f t="shared" si="128"/>
        <v>4950</v>
      </c>
      <c r="G95" s="29">
        <f t="shared" si="128"/>
        <v>4950</v>
      </c>
      <c r="H95" s="29">
        <f t="shared" si="128"/>
        <v>4950</v>
      </c>
      <c r="I95" s="29">
        <f t="shared" si="128"/>
        <v>4950</v>
      </c>
      <c r="J95" s="29">
        <f t="shared" si="128"/>
        <v>4950</v>
      </c>
      <c r="K95" s="29">
        <f t="shared" si="128"/>
        <v>4950</v>
      </c>
      <c r="L95" s="29">
        <f t="shared" si="128"/>
        <v>4950</v>
      </c>
      <c r="M95" s="29">
        <f t="shared" si="128"/>
        <v>4950</v>
      </c>
      <c r="N95" s="29">
        <f t="shared" si="128"/>
        <v>4950</v>
      </c>
      <c r="O95" s="29">
        <f t="shared" si="128"/>
        <v>4950</v>
      </c>
      <c r="P95" s="29">
        <f t="shared" si="128"/>
        <v>4950</v>
      </c>
      <c r="Q95" s="29">
        <f t="shared" si="128"/>
        <v>4950</v>
      </c>
      <c r="R95" s="29">
        <f t="shared" si="128"/>
        <v>4950</v>
      </c>
      <c r="S95" s="29">
        <f t="shared" si="128"/>
        <v>4950</v>
      </c>
      <c r="T95" s="29">
        <f t="shared" si="128"/>
        <v>4950</v>
      </c>
      <c r="U95" s="29">
        <f t="shared" si="128"/>
        <v>4950</v>
      </c>
      <c r="V95" s="29">
        <f t="shared" si="128"/>
        <v>4950</v>
      </c>
      <c r="W95" s="29">
        <f t="shared" si="128"/>
        <v>4950</v>
      </c>
      <c r="X95" s="29">
        <f t="shared" si="128"/>
        <v>4950</v>
      </c>
      <c r="Y95" s="29">
        <f t="shared" si="128"/>
        <v>4950</v>
      </c>
      <c r="Z95" s="29">
        <f t="shared" si="128"/>
        <v>4950</v>
      </c>
      <c r="AA95" s="29">
        <f t="shared" si="128"/>
        <v>4950</v>
      </c>
      <c r="AB95" s="29">
        <f t="shared" si="128"/>
        <v>4950</v>
      </c>
      <c r="AC95" s="29">
        <f t="shared" si="128"/>
        <v>4950</v>
      </c>
      <c r="AD95" s="29">
        <f t="shared" si="128"/>
        <v>4950</v>
      </c>
      <c r="AE95" s="29">
        <f t="shared" si="128"/>
        <v>4950</v>
      </c>
      <c r="AF95" s="29">
        <f t="shared" si="128"/>
        <v>4950</v>
      </c>
      <c r="AG95" s="29"/>
    </row>
    <row r="96" spans="1:33" x14ac:dyDescent="0.25">
      <c r="A96" s="29" t="s">
        <v>53</v>
      </c>
      <c r="B96" s="29">
        <f>ROUNDUP((B86/B95),0)</f>
        <v>6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/>
    </row>
    <row r="97" spans="1:33" x14ac:dyDescent="0.25">
      <c r="A97" s="29" t="s">
        <v>43</v>
      </c>
      <c r="B97" s="32">
        <v>880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29">
        <v>0</v>
      </c>
      <c r="AG97" s="32">
        <f t="shared" si="97"/>
        <v>880</v>
      </c>
    </row>
    <row r="98" spans="1:33" x14ac:dyDescent="0.25">
      <c r="A98" s="29" t="s">
        <v>54</v>
      </c>
      <c r="B98" s="32">
        <f>B96*B97</f>
        <v>5280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32">
        <f t="shared" si="97"/>
        <v>5280</v>
      </c>
    </row>
    <row r="99" spans="1:33" x14ac:dyDescent="0.25">
      <c r="A99" s="29" t="s">
        <v>55</v>
      </c>
      <c r="B99" s="31">
        <f>(10*B96)</f>
        <v>60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32">
        <f t="shared" si="97"/>
        <v>60</v>
      </c>
    </row>
    <row r="100" spans="1:33" x14ac:dyDescent="0.25">
      <c r="A100" s="29" t="s">
        <v>42</v>
      </c>
      <c r="B100" s="32">
        <f>B99*1</f>
        <v>60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32">
        <f t="shared" si="97"/>
        <v>60</v>
      </c>
    </row>
    <row r="101" spans="1:33" x14ac:dyDescent="0.25">
      <c r="A101" s="29" t="s">
        <v>38</v>
      </c>
      <c r="B101" s="29">
        <f>(4*B96)</f>
        <v>24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/>
    </row>
    <row r="102" spans="1:33" x14ac:dyDescent="0.25">
      <c r="A102" s="29" t="s">
        <v>30</v>
      </c>
      <c r="B102" s="32">
        <v>110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32">
        <f t="shared" si="97"/>
        <v>110</v>
      </c>
    </row>
    <row r="103" spans="1:33" x14ac:dyDescent="0.25">
      <c r="A103" s="29" t="s">
        <v>18</v>
      </c>
      <c r="B103" s="32">
        <f>SUM(B101*B102)</f>
        <v>2640</v>
      </c>
      <c r="C103" s="62">
        <f t="shared" ref="C103:AF103" si="129">SUM(C101*C102)</f>
        <v>0</v>
      </c>
      <c r="D103" s="62">
        <f t="shared" si="129"/>
        <v>0</v>
      </c>
      <c r="E103" s="62">
        <f t="shared" si="129"/>
        <v>0</v>
      </c>
      <c r="F103" s="62">
        <f t="shared" si="129"/>
        <v>0</v>
      </c>
      <c r="G103" s="62">
        <f t="shared" si="129"/>
        <v>0</v>
      </c>
      <c r="H103" s="62">
        <f t="shared" si="129"/>
        <v>0</v>
      </c>
      <c r="I103" s="62">
        <f t="shared" si="129"/>
        <v>0</v>
      </c>
      <c r="J103" s="62">
        <f t="shared" si="129"/>
        <v>0</v>
      </c>
      <c r="K103" s="62">
        <f t="shared" si="129"/>
        <v>0</v>
      </c>
      <c r="L103" s="62">
        <f t="shared" si="129"/>
        <v>0</v>
      </c>
      <c r="M103" s="62">
        <f t="shared" si="129"/>
        <v>0</v>
      </c>
      <c r="N103" s="62">
        <f t="shared" si="129"/>
        <v>0</v>
      </c>
      <c r="O103" s="62">
        <f t="shared" si="129"/>
        <v>0</v>
      </c>
      <c r="P103" s="62">
        <f t="shared" si="129"/>
        <v>0</v>
      </c>
      <c r="Q103" s="62">
        <f t="shared" si="129"/>
        <v>0</v>
      </c>
      <c r="R103" s="62">
        <f t="shared" si="129"/>
        <v>0</v>
      </c>
      <c r="S103" s="62">
        <f t="shared" si="129"/>
        <v>0</v>
      </c>
      <c r="T103" s="62">
        <f t="shared" si="129"/>
        <v>0</v>
      </c>
      <c r="U103" s="62">
        <f t="shared" si="129"/>
        <v>0</v>
      </c>
      <c r="V103" s="62">
        <f t="shared" si="129"/>
        <v>0</v>
      </c>
      <c r="W103" s="62">
        <f t="shared" si="129"/>
        <v>0</v>
      </c>
      <c r="X103" s="62">
        <f t="shared" si="129"/>
        <v>0</v>
      </c>
      <c r="Y103" s="62">
        <f t="shared" si="129"/>
        <v>0</v>
      </c>
      <c r="Z103" s="62">
        <f t="shared" si="129"/>
        <v>0</v>
      </c>
      <c r="AA103" s="62">
        <f t="shared" si="129"/>
        <v>0</v>
      </c>
      <c r="AB103" s="62">
        <f t="shared" si="129"/>
        <v>0</v>
      </c>
      <c r="AC103" s="62">
        <f t="shared" si="129"/>
        <v>0</v>
      </c>
      <c r="AD103" s="62">
        <f t="shared" si="129"/>
        <v>0</v>
      </c>
      <c r="AE103" s="62">
        <f t="shared" si="129"/>
        <v>0</v>
      </c>
      <c r="AF103" s="62">
        <f t="shared" si="129"/>
        <v>0</v>
      </c>
      <c r="AG103" s="32">
        <f t="shared" si="97"/>
        <v>2640</v>
      </c>
    </row>
    <row r="104" spans="1:33" x14ac:dyDescent="0.25">
      <c r="A104" s="29" t="s">
        <v>19</v>
      </c>
      <c r="B104" s="31">
        <f>B101*6</f>
        <v>144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/>
    </row>
    <row r="105" spans="1:33" x14ac:dyDescent="0.25">
      <c r="A105" s="29" t="s">
        <v>20</v>
      </c>
      <c r="B105" s="32">
        <f>B104*0.3</f>
        <v>43.199999999999996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32">
        <f t="shared" si="97"/>
        <v>43.199999999999996</v>
      </c>
    </row>
    <row r="106" spans="1:33" x14ac:dyDescent="0.25">
      <c r="A106" s="29" t="s">
        <v>2</v>
      </c>
      <c r="B106" s="32">
        <v>255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32">
        <f t="shared" si="97"/>
        <v>255</v>
      </c>
    </row>
    <row r="107" spans="1:33" x14ac:dyDescent="0.25">
      <c r="A107" s="29" t="s">
        <v>3</v>
      </c>
      <c r="B107" s="32">
        <v>108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32">
        <f t="shared" si="97"/>
        <v>108</v>
      </c>
    </row>
    <row r="108" spans="1:33" x14ac:dyDescent="0.25">
      <c r="A108" s="29" t="s">
        <v>41</v>
      </c>
      <c r="B108" s="31">
        <v>20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/>
    </row>
    <row r="109" spans="1:33" x14ac:dyDescent="0.25">
      <c r="A109" s="29" t="s">
        <v>5</v>
      </c>
      <c r="B109" s="32">
        <f>B108*2.75</f>
        <v>55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32">
        <f t="shared" si="97"/>
        <v>55</v>
      </c>
    </row>
    <row r="110" spans="1:33" x14ac:dyDescent="0.25">
      <c r="A110" s="29" t="s">
        <v>134</v>
      </c>
      <c r="B110" s="32">
        <f>(10*12)</f>
        <v>120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32">
        <f t="shared" si="97"/>
        <v>120</v>
      </c>
    </row>
    <row r="111" spans="1:33" x14ac:dyDescent="0.25">
      <c r="A111" s="29" t="s">
        <v>45</v>
      </c>
      <c r="B111" s="32">
        <f>(0.5*12*12)</f>
        <v>72</v>
      </c>
      <c r="C111" s="32">
        <f>(B111)</f>
        <v>72</v>
      </c>
      <c r="D111" s="32">
        <f t="shared" ref="D111" si="130">(C111)</f>
        <v>72</v>
      </c>
      <c r="E111" s="32">
        <f t="shared" ref="E111" si="131">(D111)</f>
        <v>72</v>
      </c>
      <c r="F111" s="32">
        <f t="shared" ref="F111" si="132">(E111)</f>
        <v>72</v>
      </c>
      <c r="G111" s="32">
        <f t="shared" ref="G111" si="133">(F111)</f>
        <v>72</v>
      </c>
      <c r="H111" s="32">
        <f t="shared" ref="H111" si="134">(G111)</f>
        <v>72</v>
      </c>
      <c r="I111" s="32">
        <f t="shared" ref="I111" si="135">(H111)</f>
        <v>72</v>
      </c>
      <c r="J111" s="32">
        <f t="shared" ref="J111" si="136">(I111)</f>
        <v>72</v>
      </c>
      <c r="K111" s="32">
        <f t="shared" ref="K111" si="137">(J111)</f>
        <v>72</v>
      </c>
      <c r="L111" s="32">
        <f t="shared" ref="L111" si="138">(K111)</f>
        <v>72</v>
      </c>
      <c r="M111" s="32">
        <f t="shared" ref="M111" si="139">(L111)</f>
        <v>72</v>
      </c>
      <c r="N111" s="32">
        <f t="shared" ref="N111" si="140">(M111)</f>
        <v>72</v>
      </c>
      <c r="O111" s="32">
        <f t="shared" ref="O111" si="141">(N111)</f>
        <v>72</v>
      </c>
      <c r="P111" s="32">
        <f t="shared" ref="P111" si="142">(O111)</f>
        <v>72</v>
      </c>
      <c r="Q111" s="32">
        <f t="shared" ref="Q111" si="143">(P111)</f>
        <v>72</v>
      </c>
      <c r="R111" s="32">
        <f t="shared" ref="R111" si="144">(Q111)</f>
        <v>72</v>
      </c>
      <c r="S111" s="32">
        <f t="shared" ref="S111" si="145">(R111)</f>
        <v>72</v>
      </c>
      <c r="T111" s="32">
        <f t="shared" ref="T111" si="146">(S111)</f>
        <v>72</v>
      </c>
      <c r="U111" s="32">
        <f t="shared" ref="U111" si="147">(T111)</f>
        <v>72</v>
      </c>
      <c r="V111" s="32">
        <f t="shared" ref="V111" si="148">(U111)</f>
        <v>72</v>
      </c>
      <c r="W111" s="32">
        <f t="shared" ref="W111" si="149">(V111)</f>
        <v>72</v>
      </c>
      <c r="X111" s="32">
        <f t="shared" ref="X111" si="150">(W111)</f>
        <v>72</v>
      </c>
      <c r="Y111" s="32">
        <f t="shared" ref="Y111" si="151">(X111)</f>
        <v>72</v>
      </c>
      <c r="Z111" s="32">
        <f t="shared" ref="Z111" si="152">(Y111)</f>
        <v>72</v>
      </c>
      <c r="AA111" s="32">
        <f t="shared" ref="AA111" si="153">(Z111)</f>
        <v>72</v>
      </c>
      <c r="AB111" s="32">
        <f t="shared" ref="AB111" si="154">(AA111)</f>
        <v>72</v>
      </c>
      <c r="AC111" s="32">
        <f t="shared" ref="AC111" si="155">(AB111)</f>
        <v>72</v>
      </c>
      <c r="AD111" s="32">
        <f t="shared" ref="AD111" si="156">(AC111)</f>
        <v>72</v>
      </c>
      <c r="AE111" s="32">
        <f t="shared" ref="AE111" si="157">(AD111)</f>
        <v>72</v>
      </c>
      <c r="AF111" s="32">
        <f t="shared" ref="AF111" si="158">(AE111)</f>
        <v>72</v>
      </c>
      <c r="AG111" s="32">
        <f t="shared" si="97"/>
        <v>2232</v>
      </c>
    </row>
    <row r="112" spans="1:33" x14ac:dyDescent="0.25">
      <c r="A112" s="29" t="s">
        <v>40</v>
      </c>
      <c r="B112" s="31">
        <v>30</v>
      </c>
      <c r="C112" s="31">
        <f>B112</f>
        <v>30</v>
      </c>
      <c r="D112" s="31">
        <f t="shared" ref="D112:AF112" si="159">C112</f>
        <v>30</v>
      </c>
      <c r="E112" s="31">
        <f t="shared" si="159"/>
        <v>30</v>
      </c>
      <c r="F112" s="31">
        <f t="shared" si="159"/>
        <v>30</v>
      </c>
      <c r="G112" s="31">
        <f t="shared" si="159"/>
        <v>30</v>
      </c>
      <c r="H112" s="31">
        <f t="shared" si="159"/>
        <v>30</v>
      </c>
      <c r="I112" s="31">
        <f t="shared" si="159"/>
        <v>30</v>
      </c>
      <c r="J112" s="31">
        <f t="shared" si="159"/>
        <v>30</v>
      </c>
      <c r="K112" s="31">
        <f t="shared" si="159"/>
        <v>30</v>
      </c>
      <c r="L112" s="31">
        <f t="shared" si="159"/>
        <v>30</v>
      </c>
      <c r="M112" s="31">
        <f t="shared" si="159"/>
        <v>30</v>
      </c>
      <c r="N112" s="31">
        <f t="shared" si="159"/>
        <v>30</v>
      </c>
      <c r="O112" s="31">
        <f t="shared" si="159"/>
        <v>30</v>
      </c>
      <c r="P112" s="31">
        <f t="shared" si="159"/>
        <v>30</v>
      </c>
      <c r="Q112" s="31">
        <f t="shared" si="159"/>
        <v>30</v>
      </c>
      <c r="R112" s="31">
        <f t="shared" si="159"/>
        <v>30</v>
      </c>
      <c r="S112" s="31">
        <f t="shared" si="159"/>
        <v>30</v>
      </c>
      <c r="T112" s="31">
        <f t="shared" si="159"/>
        <v>30</v>
      </c>
      <c r="U112" s="31">
        <f t="shared" si="159"/>
        <v>30</v>
      </c>
      <c r="V112" s="31">
        <f t="shared" si="159"/>
        <v>30</v>
      </c>
      <c r="W112" s="31">
        <f t="shared" si="159"/>
        <v>30</v>
      </c>
      <c r="X112" s="31">
        <f t="shared" si="159"/>
        <v>30</v>
      </c>
      <c r="Y112" s="31">
        <f t="shared" si="159"/>
        <v>30</v>
      </c>
      <c r="Z112" s="31">
        <f t="shared" si="159"/>
        <v>30</v>
      </c>
      <c r="AA112" s="31">
        <f t="shared" si="159"/>
        <v>30</v>
      </c>
      <c r="AB112" s="31">
        <f t="shared" si="159"/>
        <v>30</v>
      </c>
      <c r="AC112" s="31">
        <f t="shared" si="159"/>
        <v>30</v>
      </c>
      <c r="AD112" s="31">
        <f t="shared" si="159"/>
        <v>30</v>
      </c>
      <c r="AE112" s="31">
        <f t="shared" si="159"/>
        <v>30</v>
      </c>
      <c r="AF112" s="31">
        <f t="shared" si="159"/>
        <v>30</v>
      </c>
      <c r="AG112" s="29"/>
    </row>
    <row r="113" spans="1:33" x14ac:dyDescent="0.25">
      <c r="A113" s="29" t="s">
        <v>128</v>
      </c>
      <c r="B113" s="29">
        <f>B112*B84</f>
        <v>1710</v>
      </c>
      <c r="C113" s="29">
        <f t="shared" ref="C113:AF113" si="160">C112*C87</f>
        <v>0</v>
      </c>
      <c r="D113" s="29">
        <f t="shared" si="160"/>
        <v>0</v>
      </c>
      <c r="E113" s="29">
        <f t="shared" si="160"/>
        <v>0</v>
      </c>
      <c r="F113" s="29">
        <f t="shared" si="160"/>
        <v>0</v>
      </c>
      <c r="G113" s="29">
        <f t="shared" si="160"/>
        <v>0</v>
      </c>
      <c r="H113" s="29">
        <f t="shared" si="160"/>
        <v>0</v>
      </c>
      <c r="I113" s="29">
        <f t="shared" si="160"/>
        <v>0</v>
      </c>
      <c r="J113" s="29">
        <f t="shared" si="160"/>
        <v>0</v>
      </c>
      <c r="K113" s="29">
        <f t="shared" si="160"/>
        <v>0</v>
      </c>
      <c r="L113" s="29">
        <f t="shared" si="160"/>
        <v>0</v>
      </c>
      <c r="M113" s="29">
        <f t="shared" si="160"/>
        <v>0</v>
      </c>
      <c r="N113" s="29">
        <f t="shared" si="160"/>
        <v>0</v>
      </c>
      <c r="O113" s="29">
        <f t="shared" si="160"/>
        <v>0</v>
      </c>
      <c r="P113" s="29">
        <f t="shared" si="160"/>
        <v>0</v>
      </c>
      <c r="Q113" s="29">
        <f t="shared" si="160"/>
        <v>0</v>
      </c>
      <c r="R113" s="29">
        <f t="shared" si="160"/>
        <v>0</v>
      </c>
      <c r="S113" s="29">
        <f t="shared" si="160"/>
        <v>0</v>
      </c>
      <c r="T113" s="29">
        <f t="shared" si="160"/>
        <v>0</v>
      </c>
      <c r="U113" s="29">
        <f t="shared" si="160"/>
        <v>0</v>
      </c>
      <c r="V113" s="29">
        <f t="shared" si="160"/>
        <v>0</v>
      </c>
      <c r="W113" s="29">
        <f t="shared" si="160"/>
        <v>0</v>
      </c>
      <c r="X113" s="29">
        <f t="shared" si="160"/>
        <v>0</v>
      </c>
      <c r="Y113" s="29">
        <f t="shared" si="160"/>
        <v>0</v>
      </c>
      <c r="Z113" s="29">
        <f t="shared" si="160"/>
        <v>0</v>
      </c>
      <c r="AA113" s="29">
        <f t="shared" si="160"/>
        <v>0</v>
      </c>
      <c r="AB113" s="29">
        <f t="shared" si="160"/>
        <v>0</v>
      </c>
      <c r="AC113" s="29">
        <f t="shared" si="160"/>
        <v>0</v>
      </c>
      <c r="AD113" s="29">
        <f t="shared" si="160"/>
        <v>0</v>
      </c>
      <c r="AE113" s="29">
        <f t="shared" si="160"/>
        <v>0</v>
      </c>
      <c r="AF113" s="29">
        <f t="shared" si="160"/>
        <v>0</v>
      </c>
      <c r="AG113" s="29"/>
    </row>
    <row r="114" spans="1:33" s="26" customFormat="1" x14ac:dyDescent="0.25">
      <c r="A114" s="29" t="s">
        <v>129</v>
      </c>
      <c r="B114" s="62">
        <f>(B113*365)</f>
        <v>624150</v>
      </c>
      <c r="C114" s="62">
        <f>($B$114*C2)</f>
        <v>624150</v>
      </c>
      <c r="D114" s="62">
        <f t="shared" ref="D114:AF114" si="161">($B$114*D2)</f>
        <v>1248300</v>
      </c>
      <c r="E114" s="62">
        <f t="shared" si="161"/>
        <v>1872450</v>
      </c>
      <c r="F114" s="62">
        <f t="shared" si="161"/>
        <v>2496600</v>
      </c>
      <c r="G114" s="62">
        <f t="shared" si="161"/>
        <v>3120750</v>
      </c>
      <c r="H114" s="62">
        <f t="shared" si="161"/>
        <v>3744900</v>
      </c>
      <c r="I114" s="62">
        <f t="shared" si="161"/>
        <v>4369050</v>
      </c>
      <c r="J114" s="62">
        <f t="shared" si="161"/>
        <v>4993200</v>
      </c>
      <c r="K114" s="62">
        <f t="shared" si="161"/>
        <v>5617350</v>
      </c>
      <c r="L114" s="62">
        <f t="shared" si="161"/>
        <v>6241500</v>
      </c>
      <c r="M114" s="62">
        <f t="shared" si="161"/>
        <v>6865650</v>
      </c>
      <c r="N114" s="62">
        <f t="shared" si="161"/>
        <v>7489800</v>
      </c>
      <c r="O114" s="62">
        <f t="shared" si="161"/>
        <v>8113950</v>
      </c>
      <c r="P114" s="62">
        <f t="shared" si="161"/>
        <v>8738100</v>
      </c>
      <c r="Q114" s="62">
        <f t="shared" si="161"/>
        <v>9362250</v>
      </c>
      <c r="R114" s="62">
        <f t="shared" si="161"/>
        <v>9986400</v>
      </c>
      <c r="S114" s="62">
        <f t="shared" si="161"/>
        <v>10610550</v>
      </c>
      <c r="T114" s="62">
        <f t="shared" si="161"/>
        <v>11234700</v>
      </c>
      <c r="U114" s="62">
        <f t="shared" si="161"/>
        <v>11858850</v>
      </c>
      <c r="V114" s="62">
        <f t="shared" si="161"/>
        <v>12483000</v>
      </c>
      <c r="W114" s="62">
        <f t="shared" si="161"/>
        <v>13107150</v>
      </c>
      <c r="X114" s="62">
        <f t="shared" si="161"/>
        <v>13731300</v>
      </c>
      <c r="Y114" s="62">
        <f t="shared" si="161"/>
        <v>14355450</v>
      </c>
      <c r="Z114" s="62">
        <f t="shared" si="161"/>
        <v>14979600</v>
      </c>
      <c r="AA114" s="62">
        <f t="shared" si="161"/>
        <v>15603750</v>
      </c>
      <c r="AB114" s="62">
        <f t="shared" si="161"/>
        <v>16227900</v>
      </c>
      <c r="AC114" s="62">
        <f t="shared" si="161"/>
        <v>16852050</v>
      </c>
      <c r="AD114" s="62">
        <f t="shared" si="161"/>
        <v>17476200</v>
      </c>
      <c r="AE114" s="62">
        <f t="shared" si="161"/>
        <v>18100350</v>
      </c>
      <c r="AF114" s="62">
        <f t="shared" si="161"/>
        <v>18724500</v>
      </c>
      <c r="AG114" s="29"/>
    </row>
    <row r="115" spans="1:33" x14ac:dyDescent="0.25">
      <c r="A115" s="29" t="s">
        <v>94</v>
      </c>
      <c r="B115" s="32">
        <f>SUM(B87+B88+B90+B92+B93+B97+B98+B100+B103+B105+B106+B107+B109+B110+B111)</f>
        <v>11346.26</v>
      </c>
      <c r="C115" s="32">
        <f t="shared" ref="C115:AF115" si="162">SUM(C87+C88+C90+C92+C93+C97+C98+C100+C103+C105+C106+C107+C109+C111)</f>
        <v>72</v>
      </c>
      <c r="D115" s="32">
        <f t="shared" si="162"/>
        <v>72</v>
      </c>
      <c r="E115" s="32">
        <f t="shared" si="162"/>
        <v>72</v>
      </c>
      <c r="F115" s="32">
        <f t="shared" si="162"/>
        <v>72</v>
      </c>
      <c r="G115" s="32">
        <f t="shared" si="162"/>
        <v>72</v>
      </c>
      <c r="H115" s="32">
        <f t="shared" si="162"/>
        <v>72</v>
      </c>
      <c r="I115" s="32">
        <f t="shared" si="162"/>
        <v>72</v>
      </c>
      <c r="J115" s="32">
        <f t="shared" si="162"/>
        <v>72</v>
      </c>
      <c r="K115" s="32">
        <f t="shared" si="162"/>
        <v>72</v>
      </c>
      <c r="L115" s="32">
        <f t="shared" si="162"/>
        <v>72</v>
      </c>
      <c r="M115" s="32">
        <f t="shared" si="162"/>
        <v>72</v>
      </c>
      <c r="N115" s="32">
        <f t="shared" si="162"/>
        <v>72</v>
      </c>
      <c r="O115" s="32">
        <f t="shared" si="162"/>
        <v>72</v>
      </c>
      <c r="P115" s="32">
        <f t="shared" si="162"/>
        <v>72</v>
      </c>
      <c r="Q115" s="32">
        <f t="shared" si="162"/>
        <v>72</v>
      </c>
      <c r="R115" s="32">
        <f t="shared" si="162"/>
        <v>72</v>
      </c>
      <c r="S115" s="32">
        <f t="shared" si="162"/>
        <v>72</v>
      </c>
      <c r="T115" s="32">
        <f t="shared" si="162"/>
        <v>72</v>
      </c>
      <c r="U115" s="32">
        <f t="shared" si="162"/>
        <v>72</v>
      </c>
      <c r="V115" s="32">
        <f t="shared" si="162"/>
        <v>72</v>
      </c>
      <c r="W115" s="32">
        <f t="shared" si="162"/>
        <v>72</v>
      </c>
      <c r="X115" s="32">
        <f t="shared" si="162"/>
        <v>72</v>
      </c>
      <c r="Y115" s="32">
        <f t="shared" si="162"/>
        <v>72</v>
      </c>
      <c r="Z115" s="32">
        <f t="shared" si="162"/>
        <v>72</v>
      </c>
      <c r="AA115" s="32">
        <f t="shared" si="162"/>
        <v>72</v>
      </c>
      <c r="AB115" s="32">
        <f t="shared" si="162"/>
        <v>72</v>
      </c>
      <c r="AC115" s="32">
        <f t="shared" si="162"/>
        <v>72</v>
      </c>
      <c r="AD115" s="32">
        <f t="shared" si="162"/>
        <v>72</v>
      </c>
      <c r="AE115" s="32">
        <f t="shared" si="162"/>
        <v>72</v>
      </c>
      <c r="AF115" s="32">
        <f t="shared" si="162"/>
        <v>72</v>
      </c>
      <c r="AG115" s="29"/>
    </row>
    <row r="116" spans="1:33" x14ac:dyDescent="0.25">
      <c r="A116" s="29" t="s">
        <v>95</v>
      </c>
      <c r="B116" s="32">
        <f>B115</f>
        <v>11346.26</v>
      </c>
      <c r="C116" s="32">
        <f>B116+C115</f>
        <v>11418.26</v>
      </c>
      <c r="D116" s="32">
        <f t="shared" ref="D116:AF116" si="163">C116+D115</f>
        <v>11490.26</v>
      </c>
      <c r="E116" s="32">
        <f t="shared" si="163"/>
        <v>11562.26</v>
      </c>
      <c r="F116" s="32">
        <f t="shared" si="163"/>
        <v>11634.26</v>
      </c>
      <c r="G116" s="32">
        <f t="shared" si="163"/>
        <v>11706.26</v>
      </c>
      <c r="H116" s="32">
        <f t="shared" si="163"/>
        <v>11778.26</v>
      </c>
      <c r="I116" s="32">
        <f t="shared" si="163"/>
        <v>11850.26</v>
      </c>
      <c r="J116" s="32">
        <f t="shared" si="163"/>
        <v>11922.26</v>
      </c>
      <c r="K116" s="32">
        <f t="shared" si="163"/>
        <v>11994.26</v>
      </c>
      <c r="L116" s="32">
        <f t="shared" si="163"/>
        <v>12066.26</v>
      </c>
      <c r="M116" s="32">
        <f t="shared" si="163"/>
        <v>12138.26</v>
      </c>
      <c r="N116" s="32">
        <f t="shared" si="163"/>
        <v>12210.26</v>
      </c>
      <c r="O116" s="32">
        <f t="shared" si="163"/>
        <v>12282.26</v>
      </c>
      <c r="P116" s="32">
        <f t="shared" si="163"/>
        <v>12354.26</v>
      </c>
      <c r="Q116" s="32">
        <f t="shared" si="163"/>
        <v>12426.26</v>
      </c>
      <c r="R116" s="32">
        <f t="shared" si="163"/>
        <v>12498.26</v>
      </c>
      <c r="S116" s="32">
        <f t="shared" si="163"/>
        <v>12570.26</v>
      </c>
      <c r="T116" s="32">
        <f t="shared" si="163"/>
        <v>12642.26</v>
      </c>
      <c r="U116" s="32">
        <f t="shared" si="163"/>
        <v>12714.26</v>
      </c>
      <c r="V116" s="32">
        <f t="shared" si="163"/>
        <v>12786.26</v>
      </c>
      <c r="W116" s="32">
        <f t="shared" si="163"/>
        <v>12858.26</v>
      </c>
      <c r="X116" s="32">
        <f t="shared" si="163"/>
        <v>12930.26</v>
      </c>
      <c r="Y116" s="32">
        <f t="shared" si="163"/>
        <v>13002.26</v>
      </c>
      <c r="Z116" s="32">
        <f t="shared" si="163"/>
        <v>13074.26</v>
      </c>
      <c r="AA116" s="32">
        <f t="shared" si="163"/>
        <v>13146.26</v>
      </c>
      <c r="AB116" s="32">
        <f t="shared" si="163"/>
        <v>13218.26</v>
      </c>
      <c r="AC116" s="32">
        <f t="shared" si="163"/>
        <v>13290.26</v>
      </c>
      <c r="AD116" s="32">
        <f t="shared" si="163"/>
        <v>13362.26</v>
      </c>
      <c r="AE116" s="32">
        <f t="shared" si="163"/>
        <v>13434.26</v>
      </c>
      <c r="AF116" s="32">
        <f t="shared" si="163"/>
        <v>13506.26</v>
      </c>
      <c r="AG116" s="29"/>
    </row>
    <row r="117" spans="1:33" x14ac:dyDescent="0.25">
      <c r="A117" s="29" t="s">
        <v>96</v>
      </c>
      <c r="B117" s="32">
        <f>SUM($AG$88:$AG$111)</f>
        <v>12661.26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>
        <f>SUM($AG$88:$AG$111)</f>
        <v>12661.26</v>
      </c>
    </row>
    <row r="118" spans="1:33" x14ac:dyDescent="0.25">
      <c r="A118" s="29" t="s">
        <v>114</v>
      </c>
      <c r="B118" s="32">
        <f>B116</f>
        <v>11346.26</v>
      </c>
      <c r="C118" s="32">
        <f>SUM(C116/C2)</f>
        <v>11418.26</v>
      </c>
      <c r="D118" s="32">
        <f t="shared" ref="D118:AF118" si="164">SUM(D116/D2)</f>
        <v>5745.13</v>
      </c>
      <c r="E118" s="32">
        <f t="shared" si="164"/>
        <v>3854.0866666666666</v>
      </c>
      <c r="F118" s="32">
        <f t="shared" si="164"/>
        <v>2908.5650000000001</v>
      </c>
      <c r="G118" s="32">
        <f t="shared" si="164"/>
        <v>2341.252</v>
      </c>
      <c r="H118" s="32">
        <f t="shared" si="164"/>
        <v>1963.0433333333333</v>
      </c>
      <c r="I118" s="32">
        <f t="shared" si="164"/>
        <v>1692.8942857142858</v>
      </c>
      <c r="J118" s="32">
        <f t="shared" si="164"/>
        <v>1490.2825</v>
      </c>
      <c r="K118" s="32">
        <f t="shared" si="164"/>
        <v>1332.6955555555555</v>
      </c>
      <c r="L118" s="32">
        <f t="shared" si="164"/>
        <v>1206.626</v>
      </c>
      <c r="M118" s="32">
        <f t="shared" si="164"/>
        <v>1103.4781818181818</v>
      </c>
      <c r="N118" s="32">
        <f t="shared" si="164"/>
        <v>1017.5216666666666</v>
      </c>
      <c r="O118" s="32">
        <f t="shared" si="164"/>
        <v>944.78923076923081</v>
      </c>
      <c r="P118" s="32">
        <f t="shared" si="164"/>
        <v>882.44714285714292</v>
      </c>
      <c r="Q118" s="32">
        <f t="shared" si="164"/>
        <v>828.41733333333332</v>
      </c>
      <c r="R118" s="32">
        <f t="shared" si="164"/>
        <v>781.14125000000001</v>
      </c>
      <c r="S118" s="32">
        <f t="shared" si="164"/>
        <v>739.42705882352948</v>
      </c>
      <c r="T118" s="32">
        <f t="shared" si="164"/>
        <v>702.34777777777776</v>
      </c>
      <c r="U118" s="32">
        <f t="shared" si="164"/>
        <v>669.1715789473684</v>
      </c>
      <c r="V118" s="32">
        <f t="shared" si="164"/>
        <v>639.31299999999999</v>
      </c>
      <c r="W118" s="32">
        <f t="shared" si="164"/>
        <v>612.29809523809524</v>
      </c>
      <c r="X118" s="32">
        <f t="shared" si="164"/>
        <v>587.73909090909092</v>
      </c>
      <c r="Y118" s="32">
        <f t="shared" si="164"/>
        <v>565.31565217391301</v>
      </c>
      <c r="Z118" s="32">
        <f t="shared" si="164"/>
        <v>544.76083333333338</v>
      </c>
      <c r="AA118" s="32">
        <f t="shared" si="164"/>
        <v>525.85040000000004</v>
      </c>
      <c r="AB118" s="32">
        <f t="shared" si="164"/>
        <v>508.39461538461541</v>
      </c>
      <c r="AC118" s="32">
        <f t="shared" si="164"/>
        <v>492.23185185185184</v>
      </c>
      <c r="AD118" s="32">
        <f t="shared" si="164"/>
        <v>477.22357142857146</v>
      </c>
      <c r="AE118" s="32">
        <f t="shared" si="164"/>
        <v>463.25034482758622</v>
      </c>
      <c r="AF118" s="32">
        <f t="shared" si="164"/>
        <v>450.20866666666666</v>
      </c>
      <c r="AG118" s="32"/>
    </row>
    <row r="119" spans="1:33" s="72" customFormat="1" x14ac:dyDescent="0.25">
      <c r="A119" s="71" t="s">
        <v>108</v>
      </c>
      <c r="B119" s="71">
        <f>(B116/B114)</f>
        <v>1.8178739085155812E-2</v>
      </c>
      <c r="C119" s="71">
        <f t="shared" ref="C119:AF119" si="165">(C116/C114)</f>
        <v>1.8294095970519907E-2</v>
      </c>
      <c r="D119" s="71">
        <f t="shared" si="165"/>
        <v>9.2047264279420012E-3</v>
      </c>
      <c r="E119" s="71">
        <f t="shared" si="165"/>
        <v>6.1749365804160327E-3</v>
      </c>
      <c r="F119" s="71">
        <f t="shared" si="165"/>
        <v>4.6600416566530481E-3</v>
      </c>
      <c r="G119" s="71">
        <f t="shared" si="165"/>
        <v>3.7511047023952577E-3</v>
      </c>
      <c r="H119" s="71">
        <f t="shared" si="165"/>
        <v>3.1451467328900639E-3</v>
      </c>
      <c r="I119" s="71">
        <f t="shared" si="165"/>
        <v>2.7123196118149255E-3</v>
      </c>
      <c r="J119" s="71">
        <f t="shared" si="165"/>
        <v>2.3876992710085716E-3</v>
      </c>
      <c r="K119" s="71">
        <f t="shared" si="165"/>
        <v>2.1352167837147408E-3</v>
      </c>
      <c r="L119" s="71">
        <f t="shared" si="165"/>
        <v>1.9332307938796764E-3</v>
      </c>
      <c r="M119" s="71">
        <f t="shared" si="165"/>
        <v>1.7679695294691689E-3</v>
      </c>
      <c r="N119" s="71">
        <f t="shared" si="165"/>
        <v>1.6302518091270795E-3</v>
      </c>
      <c r="O119" s="71">
        <f t="shared" si="165"/>
        <v>1.5137214303760807E-3</v>
      </c>
      <c r="P119" s="71">
        <f t="shared" si="165"/>
        <v>1.4138382485895102E-3</v>
      </c>
      <c r="Q119" s="71">
        <f t="shared" si="165"/>
        <v>1.3272728243744827E-3</v>
      </c>
      <c r="R119" s="71">
        <f t="shared" si="165"/>
        <v>1.2515280781863335E-3</v>
      </c>
      <c r="S119" s="71">
        <f t="shared" si="165"/>
        <v>1.1846944786085547E-3</v>
      </c>
      <c r="T119" s="71">
        <f t="shared" si="165"/>
        <v>1.1252868345394181E-3</v>
      </c>
      <c r="U119" s="71">
        <f t="shared" si="165"/>
        <v>1.0721326266880853E-3</v>
      </c>
      <c r="V119" s="71">
        <f t="shared" si="165"/>
        <v>1.0242938396218858E-3</v>
      </c>
      <c r="W119" s="71">
        <f t="shared" si="165"/>
        <v>9.8101112751437184E-4</v>
      </c>
      <c r="X119" s="71">
        <f t="shared" si="165"/>
        <v>9.4166320741663207E-4</v>
      </c>
      <c r="Y119" s="71">
        <f t="shared" si="165"/>
        <v>9.0573684558826095E-4</v>
      </c>
      <c r="Z119" s="71">
        <f t="shared" si="165"/>
        <v>8.7280434724558735E-4</v>
      </c>
      <c r="AA119" s="71">
        <f t="shared" si="165"/>
        <v>8.4250644877032768E-4</v>
      </c>
      <c r="AB119" s="71">
        <f t="shared" si="165"/>
        <v>8.1453915787008796E-4</v>
      </c>
      <c r="AC119" s="71">
        <f t="shared" si="165"/>
        <v>7.8864351814764372E-4</v>
      </c>
      <c r="AD119" s="71">
        <f t="shared" si="165"/>
        <v>7.6459756697680274E-4</v>
      </c>
      <c r="AE119" s="71">
        <f t="shared" si="165"/>
        <v>7.4220995726601978E-4</v>
      </c>
      <c r="AF119" s="71">
        <f t="shared" si="165"/>
        <v>7.2131485486928888E-4</v>
      </c>
      <c r="AG119" s="71"/>
    </row>
    <row r="120" spans="1:33" x14ac:dyDescent="0.25">
      <c r="A120" s="29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</row>
    <row r="121" spans="1:33" x14ac:dyDescent="0.25">
      <c r="A121" s="28" t="s">
        <v>100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</row>
    <row r="122" spans="1:33" x14ac:dyDescent="0.25">
      <c r="A122" s="29" t="s">
        <v>138</v>
      </c>
      <c r="B122" s="33">
        <f>(B117/B113)</f>
        <v>7.4042456140350881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30"/>
      <c r="AA122" s="29"/>
      <c r="AB122" s="29"/>
      <c r="AC122" s="29"/>
      <c r="AD122" s="29"/>
      <c r="AE122" s="29"/>
      <c r="AF122" s="29"/>
      <c r="AG122" s="29"/>
    </row>
    <row r="123" spans="1:33" x14ac:dyDescent="0.25">
      <c r="B123" s="5"/>
    </row>
    <row r="124" spans="1:33" x14ac:dyDescent="0.25">
      <c r="A124" s="35" t="s">
        <v>74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7"/>
      <c r="AA124" s="36"/>
      <c r="AB124" s="36"/>
      <c r="AC124" s="36"/>
      <c r="AD124" s="36"/>
      <c r="AE124" s="36"/>
      <c r="AF124" s="36"/>
      <c r="AG124" s="36"/>
    </row>
    <row r="125" spans="1:33" x14ac:dyDescent="0.25">
      <c r="A125" s="36" t="s">
        <v>25</v>
      </c>
      <c r="B125" s="36">
        <v>14</v>
      </c>
      <c r="C125" s="36">
        <f>(B125)</f>
        <v>14</v>
      </c>
      <c r="D125" s="36">
        <f t="shared" ref="D125:D126" si="166">(C125)</f>
        <v>14</v>
      </c>
      <c r="E125" s="36">
        <f t="shared" ref="E125:E126" si="167">(D125)</f>
        <v>14</v>
      </c>
      <c r="F125" s="36">
        <f t="shared" ref="F125:F126" si="168">(E125)</f>
        <v>14</v>
      </c>
      <c r="G125" s="36">
        <f t="shared" ref="G125:G126" si="169">(F125)</f>
        <v>14</v>
      </c>
      <c r="H125" s="36">
        <f t="shared" ref="H125:H126" si="170">(G125)</f>
        <v>14</v>
      </c>
      <c r="I125" s="36">
        <f t="shared" ref="I125:I126" si="171">(H125)</f>
        <v>14</v>
      </c>
      <c r="J125" s="36">
        <f t="shared" ref="J125:J126" si="172">(I125)</f>
        <v>14</v>
      </c>
      <c r="K125" s="36">
        <f t="shared" ref="K125:K126" si="173">(J125)</f>
        <v>14</v>
      </c>
      <c r="L125" s="36">
        <f t="shared" ref="L125:L126" si="174">(K125)</f>
        <v>14</v>
      </c>
      <c r="M125" s="36">
        <f t="shared" ref="M125:M126" si="175">(L125)</f>
        <v>14</v>
      </c>
      <c r="N125" s="36">
        <f t="shared" ref="N125:N126" si="176">(M125)</f>
        <v>14</v>
      </c>
      <c r="O125" s="36">
        <f t="shared" ref="O125:O126" si="177">(N125)</f>
        <v>14</v>
      </c>
      <c r="P125" s="36">
        <f t="shared" ref="P125:P126" si="178">(O125)</f>
        <v>14</v>
      </c>
      <c r="Q125" s="36">
        <f t="shared" ref="Q125:Q126" si="179">(P125)</f>
        <v>14</v>
      </c>
      <c r="R125" s="36">
        <f t="shared" ref="R125:R126" si="180">(Q125)</f>
        <v>14</v>
      </c>
      <c r="S125" s="36">
        <f t="shared" ref="S125:S126" si="181">(R125)</f>
        <v>14</v>
      </c>
      <c r="T125" s="36">
        <f t="shared" ref="T125:T126" si="182">(S125)</f>
        <v>14</v>
      </c>
      <c r="U125" s="36">
        <f t="shared" ref="U125:U126" si="183">(T125)</f>
        <v>14</v>
      </c>
      <c r="V125" s="36">
        <f t="shared" ref="V125:V126" si="184">(U125)</f>
        <v>14</v>
      </c>
      <c r="W125" s="36">
        <f t="shared" ref="W125:W126" si="185">(V125)</f>
        <v>14</v>
      </c>
      <c r="X125" s="36">
        <f t="shared" ref="X125:X126" si="186">(W125)</f>
        <v>14</v>
      </c>
      <c r="Y125" s="36">
        <f t="shared" ref="Y125:Y126" si="187">(X125)</f>
        <v>14</v>
      </c>
      <c r="Z125" s="36">
        <f t="shared" ref="Z125:Z126" si="188">(Y125)</f>
        <v>14</v>
      </c>
      <c r="AA125" s="36">
        <f t="shared" ref="AA125:AA126" si="189">(Z125)</f>
        <v>14</v>
      </c>
      <c r="AB125" s="36">
        <f t="shared" ref="AB125:AB126" si="190">(AA125)</f>
        <v>14</v>
      </c>
      <c r="AC125" s="36">
        <f t="shared" ref="AC125:AC126" si="191">(AB125)</f>
        <v>14</v>
      </c>
      <c r="AD125" s="36">
        <f t="shared" ref="AD125:AD126" si="192">(AC125)</f>
        <v>14</v>
      </c>
      <c r="AE125" s="36">
        <f t="shared" ref="AE125:AE126" si="193">(AD125)</f>
        <v>14</v>
      </c>
      <c r="AF125" s="36">
        <f t="shared" ref="AF125:AF126" si="194">(AE125)</f>
        <v>14</v>
      </c>
      <c r="AG125" s="36"/>
    </row>
    <row r="126" spans="1:33" x14ac:dyDescent="0.25">
      <c r="A126" s="64" t="s">
        <v>31</v>
      </c>
      <c r="B126" s="36">
        <v>19</v>
      </c>
      <c r="C126" s="36">
        <f>(B126)</f>
        <v>19</v>
      </c>
      <c r="D126" s="36">
        <f t="shared" si="166"/>
        <v>19</v>
      </c>
      <c r="E126" s="36">
        <f t="shared" si="167"/>
        <v>19</v>
      </c>
      <c r="F126" s="36">
        <f t="shared" si="168"/>
        <v>19</v>
      </c>
      <c r="G126" s="36">
        <f t="shared" si="169"/>
        <v>19</v>
      </c>
      <c r="H126" s="36">
        <f t="shared" si="170"/>
        <v>19</v>
      </c>
      <c r="I126" s="36">
        <f t="shared" si="171"/>
        <v>19</v>
      </c>
      <c r="J126" s="36">
        <f t="shared" si="172"/>
        <v>19</v>
      </c>
      <c r="K126" s="36">
        <f t="shared" si="173"/>
        <v>19</v>
      </c>
      <c r="L126" s="36">
        <f t="shared" si="174"/>
        <v>19</v>
      </c>
      <c r="M126" s="36">
        <f t="shared" si="175"/>
        <v>19</v>
      </c>
      <c r="N126" s="36">
        <f t="shared" si="176"/>
        <v>19</v>
      </c>
      <c r="O126" s="36">
        <f t="shared" si="177"/>
        <v>19</v>
      </c>
      <c r="P126" s="36">
        <f t="shared" si="178"/>
        <v>19</v>
      </c>
      <c r="Q126" s="36">
        <f t="shared" si="179"/>
        <v>19</v>
      </c>
      <c r="R126" s="36">
        <f t="shared" si="180"/>
        <v>19</v>
      </c>
      <c r="S126" s="36">
        <f t="shared" si="181"/>
        <v>19</v>
      </c>
      <c r="T126" s="36">
        <f t="shared" si="182"/>
        <v>19</v>
      </c>
      <c r="U126" s="36">
        <f t="shared" si="183"/>
        <v>19</v>
      </c>
      <c r="V126" s="36">
        <f t="shared" si="184"/>
        <v>19</v>
      </c>
      <c r="W126" s="36">
        <f t="shared" si="185"/>
        <v>19</v>
      </c>
      <c r="X126" s="36">
        <f t="shared" si="186"/>
        <v>19</v>
      </c>
      <c r="Y126" s="36">
        <f t="shared" si="187"/>
        <v>19</v>
      </c>
      <c r="Z126" s="36">
        <f t="shared" si="188"/>
        <v>19</v>
      </c>
      <c r="AA126" s="36">
        <f t="shared" si="189"/>
        <v>19</v>
      </c>
      <c r="AB126" s="36">
        <f t="shared" si="190"/>
        <v>19</v>
      </c>
      <c r="AC126" s="36">
        <f t="shared" si="191"/>
        <v>19</v>
      </c>
      <c r="AD126" s="36">
        <f t="shared" si="192"/>
        <v>19</v>
      </c>
      <c r="AE126" s="36">
        <f t="shared" si="193"/>
        <v>19</v>
      </c>
      <c r="AF126" s="36">
        <f t="shared" si="194"/>
        <v>19</v>
      </c>
      <c r="AG126" s="36"/>
    </row>
    <row r="127" spans="1:33" x14ac:dyDescent="0.25">
      <c r="A127" s="64" t="s">
        <v>50</v>
      </c>
      <c r="B127" s="36">
        <f>(B125*B126)</f>
        <v>266</v>
      </c>
      <c r="C127" s="36">
        <f t="shared" ref="C127" si="195">(C125*C126)</f>
        <v>266</v>
      </c>
      <c r="D127" s="36">
        <f t="shared" ref="D127" si="196">(D125*D126)</f>
        <v>266</v>
      </c>
      <c r="E127" s="36">
        <f t="shared" ref="E127" si="197">(E125*E126)</f>
        <v>266</v>
      </c>
      <c r="F127" s="36">
        <f t="shared" ref="F127" si="198">(F125*F126)</f>
        <v>266</v>
      </c>
      <c r="G127" s="36">
        <f t="shared" ref="G127" si="199">(G125*G126)</f>
        <v>266</v>
      </c>
      <c r="H127" s="36">
        <f t="shared" ref="H127" si="200">(H125*H126)</f>
        <v>266</v>
      </c>
      <c r="I127" s="36">
        <f t="shared" ref="I127" si="201">(I125*I126)</f>
        <v>266</v>
      </c>
      <c r="J127" s="36">
        <f t="shared" ref="J127" si="202">(J125*J126)</f>
        <v>266</v>
      </c>
      <c r="K127" s="36">
        <f t="shared" ref="K127" si="203">(K125*K126)</f>
        <v>266</v>
      </c>
      <c r="L127" s="36">
        <f t="shared" ref="L127" si="204">(L125*L126)</f>
        <v>266</v>
      </c>
      <c r="M127" s="36">
        <f t="shared" ref="M127" si="205">(M125*M126)</f>
        <v>266</v>
      </c>
      <c r="N127" s="36">
        <f t="shared" ref="N127" si="206">(N125*N126)</f>
        <v>266</v>
      </c>
      <c r="O127" s="36">
        <f t="shared" ref="O127" si="207">(O125*O126)</f>
        <v>266</v>
      </c>
      <c r="P127" s="36">
        <f t="shared" ref="P127" si="208">(P125*P126)</f>
        <v>266</v>
      </c>
      <c r="Q127" s="36">
        <f t="shared" ref="Q127" si="209">(Q125*Q126)</f>
        <v>266</v>
      </c>
      <c r="R127" s="36">
        <f t="shared" ref="R127" si="210">(R125*R126)</f>
        <v>266</v>
      </c>
      <c r="S127" s="36">
        <f t="shared" ref="S127" si="211">(S125*S126)</f>
        <v>266</v>
      </c>
      <c r="T127" s="36">
        <f t="shared" ref="T127" si="212">(T125*T126)</f>
        <v>266</v>
      </c>
      <c r="U127" s="36">
        <f t="shared" ref="U127" si="213">(U125*U126)</f>
        <v>266</v>
      </c>
      <c r="V127" s="36">
        <f t="shared" ref="V127" si="214">(V125*V126)</f>
        <v>266</v>
      </c>
      <c r="W127" s="36">
        <f t="shared" ref="W127" si="215">(W125*W126)</f>
        <v>266</v>
      </c>
      <c r="X127" s="36">
        <f t="shared" ref="X127" si="216">(X125*X126)</f>
        <v>266</v>
      </c>
      <c r="Y127" s="36">
        <f t="shared" ref="Y127" si="217">(Y125*Y126)</f>
        <v>266</v>
      </c>
      <c r="Z127" s="36">
        <f t="shared" ref="Z127" si="218">(Z125*Z126)</f>
        <v>266</v>
      </c>
      <c r="AA127" s="36">
        <f t="shared" ref="AA127" si="219">(AA125*AA126)</f>
        <v>266</v>
      </c>
      <c r="AB127" s="36">
        <f t="shared" ref="AB127" si="220">(AB125*AB126)</f>
        <v>266</v>
      </c>
      <c r="AC127" s="36">
        <f t="shared" ref="AC127" si="221">(AC125*AC126)</f>
        <v>266</v>
      </c>
      <c r="AD127" s="36">
        <f t="shared" ref="AD127" si="222">(AD125*AD126)</f>
        <v>266</v>
      </c>
      <c r="AE127" s="36">
        <f t="shared" ref="AE127" si="223">(AE125*AE126)</f>
        <v>266</v>
      </c>
      <c r="AF127" s="36">
        <f t="shared" ref="AF127" si="224">(AF125*AF126)</f>
        <v>266</v>
      </c>
      <c r="AG127" s="36"/>
    </row>
    <row r="128" spans="1:33" x14ac:dyDescent="0.25">
      <c r="A128" s="64" t="s">
        <v>39</v>
      </c>
      <c r="B128" s="65">
        <f>(B127*(4.25*60))</f>
        <v>67830</v>
      </c>
      <c r="C128" s="65">
        <f t="shared" ref="C128" si="225">(C127*(4.25*60))</f>
        <v>67830</v>
      </c>
      <c r="D128" s="65">
        <f t="shared" ref="D128" si="226">(D127*(4.25*60))</f>
        <v>67830</v>
      </c>
      <c r="E128" s="65">
        <f t="shared" ref="E128" si="227">(E127*(4.25*60))</f>
        <v>67830</v>
      </c>
      <c r="F128" s="65">
        <f t="shared" ref="F128" si="228">(F127*(4.25*60))</f>
        <v>67830</v>
      </c>
      <c r="G128" s="65">
        <f t="shared" ref="G128" si="229">(G127*(4.25*60))</f>
        <v>67830</v>
      </c>
      <c r="H128" s="65">
        <f t="shared" ref="H128" si="230">(H127*(4.25*60))</f>
        <v>67830</v>
      </c>
      <c r="I128" s="65">
        <f t="shared" ref="I128" si="231">(I127*(4.25*60))</f>
        <v>67830</v>
      </c>
      <c r="J128" s="65">
        <f t="shared" ref="J128" si="232">(J127*(4.25*60))</f>
        <v>67830</v>
      </c>
      <c r="K128" s="65">
        <f t="shared" ref="K128" si="233">(K127*(4.25*60))</f>
        <v>67830</v>
      </c>
      <c r="L128" s="65">
        <f t="shared" ref="L128" si="234">(L127*(4.25*60))</f>
        <v>67830</v>
      </c>
      <c r="M128" s="65">
        <f t="shared" ref="M128" si="235">(M127*(4.25*60))</f>
        <v>67830</v>
      </c>
      <c r="N128" s="65">
        <f t="shared" ref="N128" si="236">(N127*(4.25*60))</f>
        <v>67830</v>
      </c>
      <c r="O128" s="65">
        <f t="shared" ref="O128" si="237">(O127*(4.25*60))</f>
        <v>67830</v>
      </c>
      <c r="P128" s="65">
        <f t="shared" ref="P128" si="238">(P127*(4.25*60))</f>
        <v>67830</v>
      </c>
      <c r="Q128" s="65">
        <f t="shared" ref="Q128" si="239">(Q127*(4.25*60))</f>
        <v>67830</v>
      </c>
      <c r="R128" s="65">
        <f t="shared" ref="R128" si="240">(R127*(4.25*60))</f>
        <v>67830</v>
      </c>
      <c r="S128" s="65">
        <f t="shared" ref="S128" si="241">(S127*(4.25*60))</f>
        <v>67830</v>
      </c>
      <c r="T128" s="65">
        <f t="shared" ref="T128" si="242">(T127*(4.25*60))</f>
        <v>67830</v>
      </c>
      <c r="U128" s="65">
        <f t="shared" ref="U128" si="243">(U127*(4.25*60))</f>
        <v>67830</v>
      </c>
      <c r="V128" s="65">
        <f t="shared" ref="V128" si="244">(V127*(4.25*60))</f>
        <v>67830</v>
      </c>
      <c r="W128" s="65">
        <f t="shared" ref="W128" si="245">(W127*(4.25*60))</f>
        <v>67830</v>
      </c>
      <c r="X128" s="65">
        <f t="shared" ref="X128" si="246">(X127*(4.25*60))</f>
        <v>67830</v>
      </c>
      <c r="Y128" s="65">
        <f t="shared" ref="Y128" si="247">(Y127*(4.25*60))</f>
        <v>67830</v>
      </c>
      <c r="Z128" s="65">
        <f t="shared" ref="Z128" si="248">(Z127*(4.25*60))</f>
        <v>67830</v>
      </c>
      <c r="AA128" s="65">
        <f t="shared" ref="AA128" si="249">(AA127*(4.25*60))</f>
        <v>67830</v>
      </c>
      <c r="AB128" s="65">
        <f t="shared" ref="AB128" si="250">(AB127*(4.25*60))</f>
        <v>67830</v>
      </c>
      <c r="AC128" s="65">
        <f t="shared" ref="AC128" si="251">(AC127*(4.25*60))</f>
        <v>67830</v>
      </c>
      <c r="AD128" s="65">
        <f t="shared" ref="AD128" si="252">(AD127*(4.25*60))</f>
        <v>67830</v>
      </c>
      <c r="AE128" s="65">
        <f t="shared" ref="AE128" si="253">(AE127*(4.25*60))</f>
        <v>67830</v>
      </c>
      <c r="AF128" s="65">
        <f t="shared" ref="AF128" si="254">(AF127*(4.25*60))</f>
        <v>67830</v>
      </c>
      <c r="AG128" s="36"/>
    </row>
    <row r="129" spans="1:33" x14ac:dyDescent="0.25">
      <c r="A129" s="36" t="s">
        <v>32</v>
      </c>
      <c r="B129" s="36">
        <f>MROUND(B128*2,1000)</f>
        <v>136000</v>
      </c>
      <c r="C129" s="36">
        <f t="shared" ref="C129" si="255">MROUND(C128*2,1000)</f>
        <v>136000</v>
      </c>
      <c r="D129" s="36">
        <f t="shared" ref="D129" si="256">MROUND(D128*2,1000)</f>
        <v>136000</v>
      </c>
      <c r="E129" s="36">
        <f t="shared" ref="E129" si="257">MROUND(E128*2,1000)</f>
        <v>136000</v>
      </c>
      <c r="F129" s="36">
        <f t="shared" ref="F129" si="258">MROUND(F128*2,1000)</f>
        <v>136000</v>
      </c>
      <c r="G129" s="36">
        <f t="shared" ref="G129" si="259">MROUND(G128*2,1000)</f>
        <v>136000</v>
      </c>
      <c r="H129" s="36">
        <f t="shared" ref="H129" si="260">MROUND(H128*2,1000)</f>
        <v>136000</v>
      </c>
      <c r="I129" s="36">
        <f t="shared" ref="I129" si="261">MROUND(I128*2,1000)</f>
        <v>136000</v>
      </c>
      <c r="J129" s="36">
        <f t="shared" ref="J129" si="262">MROUND(J128*2,1000)</f>
        <v>136000</v>
      </c>
      <c r="K129" s="36">
        <f t="shared" ref="K129" si="263">MROUND(K128*2,1000)</f>
        <v>136000</v>
      </c>
      <c r="L129" s="36">
        <f t="shared" ref="L129" si="264">MROUND(L128*2,1000)</f>
        <v>136000</v>
      </c>
      <c r="M129" s="36">
        <f t="shared" ref="M129" si="265">MROUND(M128*2,1000)</f>
        <v>136000</v>
      </c>
      <c r="N129" s="36">
        <f t="shared" ref="N129" si="266">MROUND(N128*2,1000)</f>
        <v>136000</v>
      </c>
      <c r="O129" s="36">
        <f t="shared" ref="O129" si="267">MROUND(O128*2,1000)</f>
        <v>136000</v>
      </c>
      <c r="P129" s="36">
        <f t="shared" ref="P129" si="268">MROUND(P128*2,1000)</f>
        <v>136000</v>
      </c>
      <c r="Q129" s="36">
        <f t="shared" ref="Q129" si="269">MROUND(Q128*2,1000)</f>
        <v>136000</v>
      </c>
      <c r="R129" s="36">
        <f t="shared" ref="R129" si="270">MROUND(R128*2,1000)</f>
        <v>136000</v>
      </c>
      <c r="S129" s="36">
        <f t="shared" ref="S129" si="271">MROUND(S128*2,1000)</f>
        <v>136000</v>
      </c>
      <c r="T129" s="36">
        <f t="shared" ref="T129" si="272">MROUND(T128*2,1000)</f>
        <v>136000</v>
      </c>
      <c r="U129" s="36">
        <f t="shared" ref="U129" si="273">MROUND(U128*2,1000)</f>
        <v>136000</v>
      </c>
      <c r="V129" s="36">
        <f t="shared" ref="V129" si="274">MROUND(V128*2,1000)</f>
        <v>136000</v>
      </c>
      <c r="W129" s="36">
        <f t="shared" ref="W129" si="275">MROUND(W128*2,1000)</f>
        <v>136000</v>
      </c>
      <c r="X129" s="36">
        <f t="shared" ref="X129" si="276">MROUND(X128*2,1000)</f>
        <v>136000</v>
      </c>
      <c r="Y129" s="36">
        <f t="shared" ref="Y129" si="277">MROUND(Y128*2,1000)</f>
        <v>136000</v>
      </c>
      <c r="Z129" s="36">
        <f t="shared" ref="Z129" si="278">MROUND(Z128*2,1000)</f>
        <v>136000</v>
      </c>
      <c r="AA129" s="36">
        <f t="shared" ref="AA129" si="279">MROUND(AA128*2,1000)</f>
        <v>136000</v>
      </c>
      <c r="AB129" s="36">
        <f t="shared" ref="AB129" si="280">MROUND(AB128*2,1000)</f>
        <v>136000</v>
      </c>
      <c r="AC129" s="36">
        <f t="shared" ref="AC129" si="281">MROUND(AC128*2,1000)</f>
        <v>136000</v>
      </c>
      <c r="AD129" s="36">
        <f t="shared" ref="AD129" si="282">MROUND(AD128*2,1000)</f>
        <v>136000</v>
      </c>
      <c r="AE129" s="36">
        <f t="shared" ref="AE129" si="283">MROUND(AE128*2,1000)</f>
        <v>136000</v>
      </c>
      <c r="AF129" s="36">
        <f t="shared" ref="AF129" si="284">MROUND(AF128*2,1000)</f>
        <v>136000</v>
      </c>
      <c r="AG129" s="36"/>
    </row>
    <row r="130" spans="1:33" x14ac:dyDescent="0.25">
      <c r="A130" s="36" t="s">
        <v>51</v>
      </c>
      <c r="B130" s="39">
        <f>(ROUNDUP(B129,0)*0.035)</f>
        <v>4760</v>
      </c>
      <c r="C130" s="36"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9">
        <f>SUM(B130:AF130)</f>
        <v>4760</v>
      </c>
    </row>
    <row r="131" spans="1:33" x14ac:dyDescent="0.25">
      <c r="A131" s="36" t="s">
        <v>52</v>
      </c>
      <c r="B131" s="39">
        <f>(B89*B129)</f>
        <v>2532.4137931034479</v>
      </c>
      <c r="C131" s="36">
        <v>0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36">
        <v>0</v>
      </c>
      <c r="AG131" s="39">
        <f t="shared" ref="AG131:AG153" si="285">SUM(B131:AF131)</f>
        <v>2532.4137931034479</v>
      </c>
    </row>
    <row r="132" spans="1:33" x14ac:dyDescent="0.25">
      <c r="A132" s="36" t="s">
        <v>29</v>
      </c>
      <c r="B132" s="39">
        <v>187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6">
        <v>0</v>
      </c>
      <c r="AG132" s="39">
        <f t="shared" si="285"/>
        <v>187</v>
      </c>
    </row>
    <row r="133" spans="1:33" x14ac:dyDescent="0.25">
      <c r="A133" s="36" t="s">
        <v>37</v>
      </c>
      <c r="B133" s="36">
        <f>B132*2</f>
        <v>374</v>
      </c>
      <c r="C133" s="36">
        <f t="shared" ref="C133" si="286">C132*2</f>
        <v>0</v>
      </c>
      <c r="D133" s="36">
        <f t="shared" ref="D133" si="287">D132*2</f>
        <v>0</v>
      </c>
      <c r="E133" s="36">
        <f t="shared" ref="E133" si="288">E132*2</f>
        <v>0</v>
      </c>
      <c r="F133" s="36">
        <f t="shared" ref="F133" si="289">F132*2</f>
        <v>0</v>
      </c>
      <c r="G133" s="36">
        <f t="shared" ref="G133" si="290">G132*2</f>
        <v>0</v>
      </c>
      <c r="H133" s="36">
        <f t="shared" ref="H133" si="291">H132*2</f>
        <v>0</v>
      </c>
      <c r="I133" s="36">
        <f t="shared" ref="I133" si="292">I132*2</f>
        <v>0</v>
      </c>
      <c r="J133" s="36">
        <f t="shared" ref="J133" si="293">J132*2</f>
        <v>0</v>
      </c>
      <c r="K133" s="36">
        <f t="shared" ref="K133" si="294">K132*2</f>
        <v>0</v>
      </c>
      <c r="L133" s="36">
        <f t="shared" ref="L133" si="295">L132*2</f>
        <v>0</v>
      </c>
      <c r="M133" s="36">
        <f t="shared" ref="M133" si="296">M132*2</f>
        <v>0</v>
      </c>
      <c r="N133" s="36">
        <f t="shared" ref="N133" si="297">N132*2</f>
        <v>0</v>
      </c>
      <c r="O133" s="36">
        <f t="shared" ref="O133" si="298">O132*2</f>
        <v>0</v>
      </c>
      <c r="P133" s="36">
        <f t="shared" ref="P133" si="299">P132*2</f>
        <v>0</v>
      </c>
      <c r="Q133" s="36">
        <f t="shared" ref="Q133" si="300">Q132*2</f>
        <v>0</v>
      </c>
      <c r="R133" s="36">
        <f t="shared" ref="R133" si="301">R132*2</f>
        <v>0</v>
      </c>
      <c r="S133" s="36">
        <f t="shared" ref="S133" si="302">S132*2</f>
        <v>0</v>
      </c>
      <c r="T133" s="36">
        <f t="shared" ref="T133" si="303">T132*2</f>
        <v>0</v>
      </c>
      <c r="U133" s="36">
        <f t="shared" ref="U133" si="304">U132*2</f>
        <v>0</v>
      </c>
      <c r="V133" s="36">
        <f t="shared" ref="V133" si="305">V132*2</f>
        <v>0</v>
      </c>
      <c r="W133" s="36">
        <f t="shared" ref="W133" si="306">W132*2</f>
        <v>0</v>
      </c>
      <c r="X133" s="36">
        <f t="shared" ref="X133" si="307">X132*2</f>
        <v>0</v>
      </c>
      <c r="Y133" s="36">
        <f t="shared" ref="Y133" si="308">Y132*2</f>
        <v>0</v>
      </c>
      <c r="Z133" s="36">
        <f t="shared" ref="Z133" si="309">Z132*2</f>
        <v>0</v>
      </c>
      <c r="AA133" s="36">
        <f t="shared" ref="AA133" si="310">AA132*2</f>
        <v>0</v>
      </c>
      <c r="AB133" s="36">
        <f t="shared" ref="AB133" si="311">AB132*2</f>
        <v>0</v>
      </c>
      <c r="AC133" s="36">
        <f t="shared" ref="AC133" si="312">AC132*2</f>
        <v>0</v>
      </c>
      <c r="AD133" s="36">
        <f t="shared" ref="AD133" si="313">AD132*2</f>
        <v>0</v>
      </c>
      <c r="AE133" s="36">
        <f t="shared" ref="AE133" si="314">AE132*2</f>
        <v>0</v>
      </c>
      <c r="AF133" s="36">
        <f t="shared" ref="AF133" si="315">AF132*2</f>
        <v>0</v>
      </c>
      <c r="AG133" s="36"/>
    </row>
    <row r="134" spans="1:33" x14ac:dyDescent="0.25">
      <c r="A134" s="36" t="s">
        <v>36</v>
      </c>
      <c r="B134" s="39">
        <f>ROUNDUP(B133,100)*0.19</f>
        <v>71.06</v>
      </c>
      <c r="C134" s="36">
        <v>0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36">
        <v>0</v>
      </c>
      <c r="AG134" s="39">
        <f t="shared" si="285"/>
        <v>71.06</v>
      </c>
    </row>
    <row r="135" spans="1:33" x14ac:dyDescent="0.25">
      <c r="A135" s="36" t="s">
        <v>4</v>
      </c>
      <c r="B135" s="39">
        <f>ROUNDUP(B133/100,0)*5</f>
        <v>20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0</v>
      </c>
      <c r="AG135" s="39">
        <f t="shared" si="285"/>
        <v>20</v>
      </c>
    </row>
    <row r="136" spans="1:33" x14ac:dyDescent="0.25">
      <c r="A136" s="36" t="s">
        <v>34</v>
      </c>
      <c r="B136" s="36">
        <v>990</v>
      </c>
      <c r="C136" s="36">
        <v>990</v>
      </c>
      <c r="D136" s="36">
        <v>990</v>
      </c>
      <c r="E136" s="36">
        <v>990</v>
      </c>
      <c r="F136" s="36">
        <v>990</v>
      </c>
      <c r="G136" s="36">
        <v>990</v>
      </c>
      <c r="H136" s="36">
        <v>990</v>
      </c>
      <c r="I136" s="36">
        <v>990</v>
      </c>
      <c r="J136" s="36">
        <v>990</v>
      </c>
      <c r="K136" s="36">
        <v>990</v>
      </c>
      <c r="L136" s="36">
        <v>990</v>
      </c>
      <c r="M136" s="36">
        <v>990</v>
      </c>
      <c r="N136" s="36">
        <v>990</v>
      </c>
      <c r="O136" s="36">
        <v>990</v>
      </c>
      <c r="P136" s="36">
        <v>990</v>
      </c>
      <c r="Q136" s="36">
        <v>990</v>
      </c>
      <c r="R136" s="36">
        <v>990</v>
      </c>
      <c r="S136" s="36">
        <v>990</v>
      </c>
      <c r="T136" s="36">
        <v>990</v>
      </c>
      <c r="U136" s="36">
        <v>990</v>
      </c>
      <c r="V136" s="36">
        <v>990</v>
      </c>
      <c r="W136" s="36">
        <v>990</v>
      </c>
      <c r="X136" s="36">
        <v>990</v>
      </c>
      <c r="Y136" s="36">
        <v>990</v>
      </c>
      <c r="Z136" s="36">
        <v>990</v>
      </c>
      <c r="AA136" s="36">
        <v>990</v>
      </c>
      <c r="AB136" s="36">
        <v>990</v>
      </c>
      <c r="AC136" s="36">
        <v>990</v>
      </c>
      <c r="AD136" s="36">
        <v>990</v>
      </c>
      <c r="AE136" s="36">
        <v>990</v>
      </c>
      <c r="AF136" s="36">
        <v>990</v>
      </c>
      <c r="AG136" s="36"/>
    </row>
    <row r="137" spans="1:33" x14ac:dyDescent="0.25">
      <c r="A137" s="36" t="s">
        <v>35</v>
      </c>
      <c r="B137" s="36">
        <f t="shared" ref="B137:AF137" si="316">(B50*B136)</f>
        <v>19800</v>
      </c>
      <c r="C137" s="36">
        <f t="shared" si="316"/>
        <v>0</v>
      </c>
      <c r="D137" s="36">
        <f t="shared" si="316"/>
        <v>0</v>
      </c>
      <c r="E137" s="36">
        <f t="shared" si="316"/>
        <v>0</v>
      </c>
      <c r="F137" s="36">
        <f t="shared" si="316"/>
        <v>0</v>
      </c>
      <c r="G137" s="36">
        <f t="shared" si="316"/>
        <v>0</v>
      </c>
      <c r="H137" s="36">
        <f t="shared" si="316"/>
        <v>0</v>
      </c>
      <c r="I137" s="36">
        <f t="shared" si="316"/>
        <v>0</v>
      </c>
      <c r="J137" s="36">
        <f t="shared" si="316"/>
        <v>0</v>
      </c>
      <c r="K137" s="36">
        <f t="shared" si="316"/>
        <v>0</v>
      </c>
      <c r="L137" s="36">
        <f t="shared" si="316"/>
        <v>0</v>
      </c>
      <c r="M137" s="36">
        <f t="shared" si="316"/>
        <v>0</v>
      </c>
      <c r="N137" s="36">
        <f t="shared" si="316"/>
        <v>0</v>
      </c>
      <c r="O137" s="36">
        <f t="shared" si="316"/>
        <v>0</v>
      </c>
      <c r="P137" s="36">
        <f t="shared" si="316"/>
        <v>0</v>
      </c>
      <c r="Q137" s="36">
        <f t="shared" si="316"/>
        <v>0</v>
      </c>
      <c r="R137" s="36">
        <f t="shared" si="316"/>
        <v>0</v>
      </c>
      <c r="S137" s="36">
        <f t="shared" si="316"/>
        <v>0</v>
      </c>
      <c r="T137" s="36">
        <f t="shared" si="316"/>
        <v>0</v>
      </c>
      <c r="U137" s="36">
        <f t="shared" si="316"/>
        <v>0</v>
      </c>
      <c r="V137" s="36">
        <f t="shared" si="316"/>
        <v>0</v>
      </c>
      <c r="W137" s="36">
        <f t="shared" si="316"/>
        <v>0</v>
      </c>
      <c r="X137" s="36">
        <f t="shared" si="316"/>
        <v>0</v>
      </c>
      <c r="Y137" s="36">
        <f t="shared" si="316"/>
        <v>0</v>
      </c>
      <c r="Z137" s="36">
        <f t="shared" si="316"/>
        <v>0</v>
      </c>
      <c r="AA137" s="36">
        <f t="shared" si="316"/>
        <v>0</v>
      </c>
      <c r="AB137" s="36">
        <f t="shared" si="316"/>
        <v>0</v>
      </c>
      <c r="AC137" s="36">
        <f t="shared" si="316"/>
        <v>0</v>
      </c>
      <c r="AD137" s="36">
        <f t="shared" si="316"/>
        <v>0</v>
      </c>
      <c r="AE137" s="36">
        <f t="shared" si="316"/>
        <v>0</v>
      </c>
      <c r="AF137" s="36">
        <f t="shared" si="316"/>
        <v>0</v>
      </c>
      <c r="AG137" s="36"/>
    </row>
    <row r="138" spans="1:33" x14ac:dyDescent="0.25">
      <c r="A138" s="36" t="s">
        <v>53</v>
      </c>
      <c r="B138" s="36">
        <f>ROUNDUP((B129/B137),0)</f>
        <v>7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36">
        <v>0</v>
      </c>
      <c r="AG138" s="36"/>
    </row>
    <row r="139" spans="1:33" x14ac:dyDescent="0.25">
      <c r="A139" s="36" t="s">
        <v>43</v>
      </c>
      <c r="B139" s="39">
        <v>880</v>
      </c>
      <c r="C139" s="36">
        <v>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36">
        <v>0</v>
      </c>
      <c r="AG139" s="39">
        <f t="shared" si="285"/>
        <v>880</v>
      </c>
    </row>
    <row r="140" spans="1:33" x14ac:dyDescent="0.25">
      <c r="A140" s="36" t="s">
        <v>54</v>
      </c>
      <c r="B140" s="39">
        <f>B138*B139</f>
        <v>6160</v>
      </c>
      <c r="C140" s="36">
        <v>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36">
        <v>0</v>
      </c>
      <c r="AG140" s="39">
        <f t="shared" si="285"/>
        <v>6160</v>
      </c>
    </row>
    <row r="141" spans="1:33" x14ac:dyDescent="0.25">
      <c r="A141" s="36" t="s">
        <v>55</v>
      </c>
      <c r="B141" s="38">
        <f>(10*B138)</f>
        <v>70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/>
    </row>
    <row r="142" spans="1:33" x14ac:dyDescent="0.25">
      <c r="A142" s="36" t="s">
        <v>42</v>
      </c>
      <c r="B142" s="39">
        <f>B141*1</f>
        <v>70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0</v>
      </c>
      <c r="AF142" s="36">
        <v>0</v>
      </c>
      <c r="AG142" s="39">
        <f t="shared" si="285"/>
        <v>70</v>
      </c>
    </row>
    <row r="143" spans="1:33" x14ac:dyDescent="0.25">
      <c r="A143" s="36" t="s">
        <v>38</v>
      </c>
      <c r="B143" s="36">
        <f>(4*B138)</f>
        <v>28</v>
      </c>
      <c r="C143" s="36"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6">
        <v>0</v>
      </c>
      <c r="Y143" s="36">
        <v>0</v>
      </c>
      <c r="Z143" s="36">
        <v>0</v>
      </c>
      <c r="AA143" s="36">
        <v>0</v>
      </c>
      <c r="AB143" s="36">
        <v>0</v>
      </c>
      <c r="AC143" s="36">
        <v>0</v>
      </c>
      <c r="AD143" s="36">
        <v>0</v>
      </c>
      <c r="AE143" s="36">
        <v>0</v>
      </c>
      <c r="AF143" s="36">
        <v>0</v>
      </c>
      <c r="AG143" s="36"/>
    </row>
    <row r="144" spans="1:33" x14ac:dyDescent="0.25">
      <c r="A144" s="36" t="s">
        <v>30</v>
      </c>
      <c r="B144" s="39">
        <v>110</v>
      </c>
      <c r="C144" s="36"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9">
        <f t="shared" si="285"/>
        <v>110</v>
      </c>
    </row>
    <row r="145" spans="1:33" x14ac:dyDescent="0.25">
      <c r="A145" s="36" t="s">
        <v>18</v>
      </c>
      <c r="B145" s="39">
        <f>SUM(B143*B144)</f>
        <v>3080</v>
      </c>
      <c r="C145" s="65">
        <f t="shared" ref="C145:AF145" si="317">SUM(C143*C144)</f>
        <v>0</v>
      </c>
      <c r="D145" s="65">
        <f t="shared" si="317"/>
        <v>0</v>
      </c>
      <c r="E145" s="65">
        <f t="shared" si="317"/>
        <v>0</v>
      </c>
      <c r="F145" s="65">
        <f t="shared" si="317"/>
        <v>0</v>
      </c>
      <c r="G145" s="65">
        <f t="shared" si="317"/>
        <v>0</v>
      </c>
      <c r="H145" s="65">
        <f t="shared" si="317"/>
        <v>0</v>
      </c>
      <c r="I145" s="65">
        <f t="shared" si="317"/>
        <v>0</v>
      </c>
      <c r="J145" s="65">
        <f t="shared" si="317"/>
        <v>0</v>
      </c>
      <c r="K145" s="65">
        <f t="shared" si="317"/>
        <v>0</v>
      </c>
      <c r="L145" s="65">
        <f t="shared" si="317"/>
        <v>0</v>
      </c>
      <c r="M145" s="65">
        <f t="shared" si="317"/>
        <v>0</v>
      </c>
      <c r="N145" s="65">
        <f t="shared" si="317"/>
        <v>0</v>
      </c>
      <c r="O145" s="65">
        <f t="shared" si="317"/>
        <v>0</v>
      </c>
      <c r="P145" s="65">
        <f t="shared" si="317"/>
        <v>0</v>
      </c>
      <c r="Q145" s="65">
        <f t="shared" si="317"/>
        <v>0</v>
      </c>
      <c r="R145" s="65">
        <f t="shared" si="317"/>
        <v>0</v>
      </c>
      <c r="S145" s="65">
        <f t="shared" si="317"/>
        <v>0</v>
      </c>
      <c r="T145" s="65">
        <f t="shared" si="317"/>
        <v>0</v>
      </c>
      <c r="U145" s="65">
        <f t="shared" si="317"/>
        <v>0</v>
      </c>
      <c r="V145" s="65">
        <f t="shared" si="317"/>
        <v>0</v>
      </c>
      <c r="W145" s="65">
        <f t="shared" si="317"/>
        <v>0</v>
      </c>
      <c r="X145" s="65">
        <f t="shared" si="317"/>
        <v>0</v>
      </c>
      <c r="Y145" s="65">
        <f t="shared" si="317"/>
        <v>0</v>
      </c>
      <c r="Z145" s="65">
        <f t="shared" si="317"/>
        <v>0</v>
      </c>
      <c r="AA145" s="65">
        <f t="shared" si="317"/>
        <v>0</v>
      </c>
      <c r="AB145" s="65">
        <f t="shared" si="317"/>
        <v>0</v>
      </c>
      <c r="AC145" s="65">
        <f t="shared" si="317"/>
        <v>0</v>
      </c>
      <c r="AD145" s="65">
        <f t="shared" si="317"/>
        <v>0</v>
      </c>
      <c r="AE145" s="65">
        <f t="shared" si="317"/>
        <v>0</v>
      </c>
      <c r="AF145" s="65">
        <f t="shared" si="317"/>
        <v>0</v>
      </c>
      <c r="AG145" s="39">
        <f t="shared" si="285"/>
        <v>3080</v>
      </c>
    </row>
    <row r="146" spans="1:33" x14ac:dyDescent="0.25">
      <c r="A146" s="36" t="s">
        <v>19</v>
      </c>
      <c r="B146" s="38">
        <f>B143*6</f>
        <v>168</v>
      </c>
      <c r="C146" s="36">
        <v>0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36">
        <v>0</v>
      </c>
      <c r="AG146" s="36"/>
    </row>
    <row r="147" spans="1:33" x14ac:dyDescent="0.25">
      <c r="A147" s="36" t="s">
        <v>20</v>
      </c>
      <c r="B147" s="39">
        <f>B146*0.3</f>
        <v>50.4</v>
      </c>
      <c r="C147" s="36">
        <v>0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6">
        <v>0</v>
      </c>
      <c r="AG147" s="39">
        <f t="shared" si="285"/>
        <v>50.4</v>
      </c>
    </row>
    <row r="148" spans="1:33" x14ac:dyDescent="0.25">
      <c r="A148" s="36" t="s">
        <v>2</v>
      </c>
      <c r="B148" s="39">
        <v>255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9">
        <f t="shared" si="285"/>
        <v>255</v>
      </c>
    </row>
    <row r="149" spans="1:33" x14ac:dyDescent="0.25">
      <c r="A149" s="36" t="s">
        <v>3</v>
      </c>
      <c r="B149" s="39">
        <v>108</v>
      </c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0</v>
      </c>
      <c r="AG149" s="39">
        <f t="shared" si="285"/>
        <v>108</v>
      </c>
    </row>
    <row r="150" spans="1:33" x14ac:dyDescent="0.25">
      <c r="A150" s="36" t="s">
        <v>41</v>
      </c>
      <c r="B150" s="38">
        <v>20</v>
      </c>
      <c r="C150" s="36"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/>
    </row>
    <row r="151" spans="1:33" x14ac:dyDescent="0.25">
      <c r="A151" s="36" t="s">
        <v>5</v>
      </c>
      <c r="B151" s="39">
        <f>B150*2.75</f>
        <v>55</v>
      </c>
      <c r="C151" s="36">
        <v>0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36">
        <v>0</v>
      </c>
      <c r="AG151" s="39">
        <f t="shared" si="285"/>
        <v>55</v>
      </c>
    </row>
    <row r="152" spans="1:33" x14ac:dyDescent="0.25">
      <c r="A152" s="36" t="s">
        <v>134</v>
      </c>
      <c r="B152" s="39">
        <f>(10*12)</f>
        <v>120</v>
      </c>
      <c r="C152" s="36"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9">
        <f t="shared" si="285"/>
        <v>120</v>
      </c>
    </row>
    <row r="153" spans="1:33" x14ac:dyDescent="0.25">
      <c r="A153" s="36" t="s">
        <v>45</v>
      </c>
      <c r="B153" s="39">
        <f>(0.5*12*12)</f>
        <v>72</v>
      </c>
      <c r="C153" s="39">
        <f>(B153)</f>
        <v>72</v>
      </c>
      <c r="D153" s="39">
        <f t="shared" ref="D153" si="318">(C153)</f>
        <v>72</v>
      </c>
      <c r="E153" s="39">
        <f t="shared" ref="E153" si="319">(D153)</f>
        <v>72</v>
      </c>
      <c r="F153" s="39">
        <f t="shared" ref="F153" si="320">(E153)</f>
        <v>72</v>
      </c>
      <c r="G153" s="39">
        <f t="shared" ref="G153" si="321">(F153)</f>
        <v>72</v>
      </c>
      <c r="H153" s="39">
        <f t="shared" ref="H153" si="322">(G153)</f>
        <v>72</v>
      </c>
      <c r="I153" s="39">
        <f t="shared" ref="I153" si="323">(H153)</f>
        <v>72</v>
      </c>
      <c r="J153" s="39">
        <f t="shared" ref="J153" si="324">(I153)</f>
        <v>72</v>
      </c>
      <c r="K153" s="39">
        <f t="shared" ref="K153" si="325">(J153)</f>
        <v>72</v>
      </c>
      <c r="L153" s="39">
        <f t="shared" ref="L153" si="326">(K153)</f>
        <v>72</v>
      </c>
      <c r="M153" s="39">
        <f t="shared" ref="M153" si="327">(L153)</f>
        <v>72</v>
      </c>
      <c r="N153" s="39">
        <f t="shared" ref="N153" si="328">(M153)</f>
        <v>72</v>
      </c>
      <c r="O153" s="39">
        <f t="shared" ref="O153" si="329">(N153)</f>
        <v>72</v>
      </c>
      <c r="P153" s="39">
        <f t="shared" ref="P153" si="330">(O153)</f>
        <v>72</v>
      </c>
      <c r="Q153" s="39">
        <f t="shared" ref="Q153" si="331">(P153)</f>
        <v>72</v>
      </c>
      <c r="R153" s="39">
        <f t="shared" ref="R153" si="332">(Q153)</f>
        <v>72</v>
      </c>
      <c r="S153" s="39">
        <f t="shared" ref="S153" si="333">(R153)</f>
        <v>72</v>
      </c>
      <c r="T153" s="39">
        <f t="shared" ref="T153" si="334">(S153)</f>
        <v>72</v>
      </c>
      <c r="U153" s="39">
        <f t="shared" ref="U153" si="335">(T153)</f>
        <v>72</v>
      </c>
      <c r="V153" s="39">
        <f t="shared" ref="V153" si="336">(U153)</f>
        <v>72</v>
      </c>
      <c r="W153" s="39">
        <f t="shared" ref="W153" si="337">(V153)</f>
        <v>72</v>
      </c>
      <c r="X153" s="39">
        <f t="shared" ref="X153" si="338">(W153)</f>
        <v>72</v>
      </c>
      <c r="Y153" s="39">
        <f t="shared" ref="Y153" si="339">(X153)</f>
        <v>72</v>
      </c>
      <c r="Z153" s="39">
        <f t="shared" ref="Z153" si="340">(Y153)</f>
        <v>72</v>
      </c>
      <c r="AA153" s="39">
        <f t="shared" ref="AA153" si="341">(Z153)</f>
        <v>72</v>
      </c>
      <c r="AB153" s="39">
        <f t="shared" ref="AB153" si="342">(AA153)</f>
        <v>72</v>
      </c>
      <c r="AC153" s="39">
        <f t="shared" ref="AC153" si="343">(AB153)</f>
        <v>72</v>
      </c>
      <c r="AD153" s="39">
        <f t="shared" ref="AD153" si="344">(AC153)</f>
        <v>72</v>
      </c>
      <c r="AE153" s="39">
        <f t="shared" ref="AE153" si="345">(AD153)</f>
        <v>72</v>
      </c>
      <c r="AF153" s="39">
        <f t="shared" ref="AF153" si="346">(AE153)</f>
        <v>72</v>
      </c>
      <c r="AG153" s="39">
        <f t="shared" si="285"/>
        <v>2232</v>
      </c>
    </row>
    <row r="154" spans="1:33" x14ac:dyDescent="0.25">
      <c r="A154" s="36" t="s">
        <v>40</v>
      </c>
      <c r="B154" s="38">
        <v>30</v>
      </c>
      <c r="C154" s="38">
        <f>B154</f>
        <v>30</v>
      </c>
      <c r="D154" s="38">
        <f t="shared" ref="D154:AF154" si="347">C154</f>
        <v>30</v>
      </c>
      <c r="E154" s="38">
        <f t="shared" si="347"/>
        <v>30</v>
      </c>
      <c r="F154" s="38">
        <f t="shared" si="347"/>
        <v>30</v>
      </c>
      <c r="G154" s="38">
        <f t="shared" si="347"/>
        <v>30</v>
      </c>
      <c r="H154" s="38">
        <f t="shared" si="347"/>
        <v>30</v>
      </c>
      <c r="I154" s="38">
        <f t="shared" si="347"/>
        <v>30</v>
      </c>
      <c r="J154" s="38">
        <f t="shared" si="347"/>
        <v>30</v>
      </c>
      <c r="K154" s="38">
        <f t="shared" si="347"/>
        <v>30</v>
      </c>
      <c r="L154" s="38">
        <f t="shared" si="347"/>
        <v>30</v>
      </c>
      <c r="M154" s="38">
        <f t="shared" si="347"/>
        <v>30</v>
      </c>
      <c r="N154" s="38">
        <f t="shared" si="347"/>
        <v>30</v>
      </c>
      <c r="O154" s="38">
        <f t="shared" si="347"/>
        <v>30</v>
      </c>
      <c r="P154" s="38">
        <f t="shared" si="347"/>
        <v>30</v>
      </c>
      <c r="Q154" s="38">
        <f t="shared" si="347"/>
        <v>30</v>
      </c>
      <c r="R154" s="38">
        <f t="shared" si="347"/>
        <v>30</v>
      </c>
      <c r="S154" s="38">
        <f t="shared" si="347"/>
        <v>30</v>
      </c>
      <c r="T154" s="38">
        <f t="shared" si="347"/>
        <v>30</v>
      </c>
      <c r="U154" s="38">
        <f t="shared" si="347"/>
        <v>30</v>
      </c>
      <c r="V154" s="38">
        <f t="shared" si="347"/>
        <v>30</v>
      </c>
      <c r="W154" s="38">
        <f t="shared" si="347"/>
        <v>30</v>
      </c>
      <c r="X154" s="38">
        <f t="shared" si="347"/>
        <v>30</v>
      </c>
      <c r="Y154" s="38">
        <f t="shared" si="347"/>
        <v>30</v>
      </c>
      <c r="Z154" s="38">
        <f t="shared" si="347"/>
        <v>30</v>
      </c>
      <c r="AA154" s="38">
        <f t="shared" si="347"/>
        <v>30</v>
      </c>
      <c r="AB154" s="38">
        <f t="shared" si="347"/>
        <v>30</v>
      </c>
      <c r="AC154" s="38">
        <f t="shared" si="347"/>
        <v>30</v>
      </c>
      <c r="AD154" s="38">
        <f t="shared" si="347"/>
        <v>30</v>
      </c>
      <c r="AE154" s="38">
        <f t="shared" si="347"/>
        <v>30</v>
      </c>
      <c r="AF154" s="38">
        <f t="shared" si="347"/>
        <v>30</v>
      </c>
      <c r="AG154" s="36"/>
    </row>
    <row r="155" spans="1:33" x14ac:dyDescent="0.25">
      <c r="A155" s="36" t="s">
        <v>128</v>
      </c>
      <c r="B155" s="36">
        <f>B154*B127</f>
        <v>7980</v>
      </c>
      <c r="C155" s="36">
        <f t="shared" ref="C155:AF155" si="348">C154*C130</f>
        <v>0</v>
      </c>
      <c r="D155" s="36">
        <f t="shared" si="348"/>
        <v>0</v>
      </c>
      <c r="E155" s="36">
        <f t="shared" si="348"/>
        <v>0</v>
      </c>
      <c r="F155" s="36">
        <f t="shared" si="348"/>
        <v>0</v>
      </c>
      <c r="G155" s="36">
        <f t="shared" si="348"/>
        <v>0</v>
      </c>
      <c r="H155" s="36">
        <f t="shared" si="348"/>
        <v>0</v>
      </c>
      <c r="I155" s="36">
        <f t="shared" si="348"/>
        <v>0</v>
      </c>
      <c r="J155" s="36">
        <f t="shared" si="348"/>
        <v>0</v>
      </c>
      <c r="K155" s="36">
        <f t="shared" si="348"/>
        <v>0</v>
      </c>
      <c r="L155" s="36">
        <f t="shared" si="348"/>
        <v>0</v>
      </c>
      <c r="M155" s="36">
        <f t="shared" si="348"/>
        <v>0</v>
      </c>
      <c r="N155" s="36">
        <f t="shared" si="348"/>
        <v>0</v>
      </c>
      <c r="O155" s="36">
        <f t="shared" si="348"/>
        <v>0</v>
      </c>
      <c r="P155" s="36">
        <f t="shared" si="348"/>
        <v>0</v>
      </c>
      <c r="Q155" s="36">
        <f t="shared" si="348"/>
        <v>0</v>
      </c>
      <c r="R155" s="36">
        <f t="shared" si="348"/>
        <v>0</v>
      </c>
      <c r="S155" s="36">
        <f t="shared" si="348"/>
        <v>0</v>
      </c>
      <c r="T155" s="36">
        <f t="shared" si="348"/>
        <v>0</v>
      </c>
      <c r="U155" s="36">
        <f t="shared" si="348"/>
        <v>0</v>
      </c>
      <c r="V155" s="36">
        <f t="shared" si="348"/>
        <v>0</v>
      </c>
      <c r="W155" s="36">
        <f t="shared" si="348"/>
        <v>0</v>
      </c>
      <c r="X155" s="36">
        <f t="shared" si="348"/>
        <v>0</v>
      </c>
      <c r="Y155" s="36">
        <f t="shared" si="348"/>
        <v>0</v>
      </c>
      <c r="Z155" s="36">
        <f t="shared" si="348"/>
        <v>0</v>
      </c>
      <c r="AA155" s="36">
        <f t="shared" si="348"/>
        <v>0</v>
      </c>
      <c r="AB155" s="36">
        <f t="shared" si="348"/>
        <v>0</v>
      </c>
      <c r="AC155" s="36">
        <f t="shared" si="348"/>
        <v>0</v>
      </c>
      <c r="AD155" s="36">
        <f t="shared" si="348"/>
        <v>0</v>
      </c>
      <c r="AE155" s="36">
        <f t="shared" si="348"/>
        <v>0</v>
      </c>
      <c r="AF155" s="36">
        <f t="shared" si="348"/>
        <v>0</v>
      </c>
      <c r="AG155" s="36"/>
    </row>
    <row r="156" spans="1:33" s="34" customFormat="1" x14ac:dyDescent="0.25">
      <c r="A156" s="36" t="s">
        <v>116</v>
      </c>
      <c r="B156" s="65">
        <f>(B155*365)</f>
        <v>2912700</v>
      </c>
      <c r="C156" s="65">
        <f>($B$156*C2)</f>
        <v>2912700</v>
      </c>
      <c r="D156" s="65">
        <f t="shared" ref="D156:AF156" si="349">($B$156*D2)</f>
        <v>5825400</v>
      </c>
      <c r="E156" s="65">
        <f t="shared" si="349"/>
        <v>8738100</v>
      </c>
      <c r="F156" s="65">
        <f t="shared" si="349"/>
        <v>11650800</v>
      </c>
      <c r="G156" s="65">
        <f t="shared" si="349"/>
        <v>14563500</v>
      </c>
      <c r="H156" s="65">
        <f t="shared" si="349"/>
        <v>17476200</v>
      </c>
      <c r="I156" s="65">
        <f t="shared" si="349"/>
        <v>20388900</v>
      </c>
      <c r="J156" s="65">
        <f t="shared" si="349"/>
        <v>23301600</v>
      </c>
      <c r="K156" s="65">
        <f t="shared" si="349"/>
        <v>26214300</v>
      </c>
      <c r="L156" s="65">
        <f t="shared" si="349"/>
        <v>29127000</v>
      </c>
      <c r="M156" s="65">
        <f t="shared" si="349"/>
        <v>32039700</v>
      </c>
      <c r="N156" s="65">
        <f t="shared" si="349"/>
        <v>34952400</v>
      </c>
      <c r="O156" s="65">
        <f t="shared" si="349"/>
        <v>37865100</v>
      </c>
      <c r="P156" s="65">
        <f t="shared" si="349"/>
        <v>40777800</v>
      </c>
      <c r="Q156" s="65">
        <f t="shared" si="349"/>
        <v>43690500</v>
      </c>
      <c r="R156" s="65">
        <f t="shared" si="349"/>
        <v>46603200</v>
      </c>
      <c r="S156" s="65">
        <f t="shared" si="349"/>
        <v>49515900</v>
      </c>
      <c r="T156" s="65">
        <f t="shared" si="349"/>
        <v>52428600</v>
      </c>
      <c r="U156" s="65">
        <f t="shared" si="349"/>
        <v>55341300</v>
      </c>
      <c r="V156" s="65">
        <f t="shared" si="349"/>
        <v>58254000</v>
      </c>
      <c r="W156" s="65">
        <f t="shared" si="349"/>
        <v>61166700</v>
      </c>
      <c r="X156" s="65">
        <f t="shared" si="349"/>
        <v>64079400</v>
      </c>
      <c r="Y156" s="65">
        <f t="shared" si="349"/>
        <v>66992100</v>
      </c>
      <c r="Z156" s="65">
        <f t="shared" si="349"/>
        <v>69904800</v>
      </c>
      <c r="AA156" s="65">
        <f t="shared" si="349"/>
        <v>72817500</v>
      </c>
      <c r="AB156" s="65">
        <f t="shared" si="349"/>
        <v>75730200</v>
      </c>
      <c r="AC156" s="65">
        <f t="shared" si="349"/>
        <v>78642900</v>
      </c>
      <c r="AD156" s="65">
        <f t="shared" si="349"/>
        <v>81555600</v>
      </c>
      <c r="AE156" s="65">
        <f t="shared" si="349"/>
        <v>84468300</v>
      </c>
      <c r="AF156" s="65">
        <f t="shared" si="349"/>
        <v>87381000</v>
      </c>
      <c r="AG156" s="36"/>
    </row>
    <row r="157" spans="1:33" x14ac:dyDescent="0.25">
      <c r="A157" s="36" t="s">
        <v>97</v>
      </c>
      <c r="B157" s="39">
        <f>SUM(B130++B131+B132+B134+B135+B139+B140+B142++B144+B145+B147+B148+B149+B151+152+B153)</f>
        <v>18562.873793103448</v>
      </c>
      <c r="C157" s="39">
        <f t="shared" ref="C157:AF157" si="350">SUM(C130++C131+C132+C134+C135+C139+C140+C142++C144+C145+C147+C148+C149+C151+C153)</f>
        <v>72</v>
      </c>
      <c r="D157" s="39">
        <f t="shared" si="350"/>
        <v>72</v>
      </c>
      <c r="E157" s="39">
        <f t="shared" si="350"/>
        <v>72</v>
      </c>
      <c r="F157" s="39">
        <f t="shared" si="350"/>
        <v>72</v>
      </c>
      <c r="G157" s="39">
        <f t="shared" si="350"/>
        <v>72</v>
      </c>
      <c r="H157" s="39">
        <f t="shared" si="350"/>
        <v>72</v>
      </c>
      <c r="I157" s="39">
        <f t="shared" si="350"/>
        <v>72</v>
      </c>
      <c r="J157" s="39">
        <f t="shared" si="350"/>
        <v>72</v>
      </c>
      <c r="K157" s="39">
        <f t="shared" si="350"/>
        <v>72</v>
      </c>
      <c r="L157" s="39">
        <f t="shared" si="350"/>
        <v>72</v>
      </c>
      <c r="M157" s="39">
        <f t="shared" si="350"/>
        <v>72</v>
      </c>
      <c r="N157" s="39">
        <f t="shared" si="350"/>
        <v>72</v>
      </c>
      <c r="O157" s="39">
        <f t="shared" si="350"/>
        <v>72</v>
      </c>
      <c r="P157" s="39">
        <f t="shared" si="350"/>
        <v>72</v>
      </c>
      <c r="Q157" s="39">
        <f t="shared" si="350"/>
        <v>72</v>
      </c>
      <c r="R157" s="39">
        <f t="shared" si="350"/>
        <v>72</v>
      </c>
      <c r="S157" s="39">
        <f t="shared" si="350"/>
        <v>72</v>
      </c>
      <c r="T157" s="39">
        <f t="shared" si="350"/>
        <v>72</v>
      </c>
      <c r="U157" s="39">
        <f t="shared" si="350"/>
        <v>72</v>
      </c>
      <c r="V157" s="39">
        <f t="shared" si="350"/>
        <v>72</v>
      </c>
      <c r="W157" s="39">
        <f t="shared" si="350"/>
        <v>72</v>
      </c>
      <c r="X157" s="39">
        <f t="shared" si="350"/>
        <v>72</v>
      </c>
      <c r="Y157" s="39">
        <f t="shared" si="350"/>
        <v>72</v>
      </c>
      <c r="Z157" s="39">
        <f t="shared" si="350"/>
        <v>72</v>
      </c>
      <c r="AA157" s="39">
        <f t="shared" si="350"/>
        <v>72</v>
      </c>
      <c r="AB157" s="39">
        <f t="shared" si="350"/>
        <v>72</v>
      </c>
      <c r="AC157" s="39">
        <f t="shared" si="350"/>
        <v>72</v>
      </c>
      <c r="AD157" s="39">
        <f t="shared" si="350"/>
        <v>72</v>
      </c>
      <c r="AE157" s="39">
        <f t="shared" si="350"/>
        <v>72</v>
      </c>
      <c r="AF157" s="39">
        <f t="shared" si="350"/>
        <v>72</v>
      </c>
      <c r="AG157" s="36"/>
    </row>
    <row r="158" spans="1:33" x14ac:dyDescent="0.25">
      <c r="A158" s="36" t="s">
        <v>98</v>
      </c>
      <c r="B158" s="39">
        <f>B157</f>
        <v>18562.873793103448</v>
      </c>
      <c r="C158" s="39">
        <f>B158+C157</f>
        <v>18634.873793103448</v>
      </c>
      <c r="D158" s="39">
        <f t="shared" ref="D158" si="351">C158+D157</f>
        <v>18706.873793103448</v>
      </c>
      <c r="E158" s="39">
        <f t="shared" ref="E158" si="352">D158+E157</f>
        <v>18778.873793103448</v>
      </c>
      <c r="F158" s="39">
        <f t="shared" ref="F158" si="353">E158+F157</f>
        <v>18850.873793103448</v>
      </c>
      <c r="G158" s="39">
        <f t="shared" ref="G158" si="354">F158+G157</f>
        <v>18922.873793103448</v>
      </c>
      <c r="H158" s="39">
        <f t="shared" ref="H158" si="355">G158+H157</f>
        <v>18994.873793103448</v>
      </c>
      <c r="I158" s="39">
        <f t="shared" ref="I158" si="356">H158+I157</f>
        <v>19066.873793103448</v>
      </c>
      <c r="J158" s="39">
        <f t="shared" ref="J158" si="357">I158+J157</f>
        <v>19138.873793103448</v>
      </c>
      <c r="K158" s="39">
        <f t="shared" ref="K158" si="358">J158+K157</f>
        <v>19210.873793103448</v>
      </c>
      <c r="L158" s="39">
        <f t="shared" ref="L158" si="359">K158+L157</f>
        <v>19282.873793103448</v>
      </c>
      <c r="M158" s="39">
        <f t="shared" ref="M158" si="360">L158+M157</f>
        <v>19354.873793103448</v>
      </c>
      <c r="N158" s="39">
        <f t="shared" ref="N158" si="361">M158+N157</f>
        <v>19426.873793103448</v>
      </c>
      <c r="O158" s="39">
        <f t="shared" ref="O158" si="362">N158+O157</f>
        <v>19498.873793103448</v>
      </c>
      <c r="P158" s="39">
        <f t="shared" ref="P158" si="363">O158+P157</f>
        <v>19570.873793103448</v>
      </c>
      <c r="Q158" s="39">
        <f t="shared" ref="Q158" si="364">P158+Q157</f>
        <v>19642.873793103448</v>
      </c>
      <c r="R158" s="39">
        <f t="shared" ref="R158" si="365">Q158+R157</f>
        <v>19714.873793103448</v>
      </c>
      <c r="S158" s="39">
        <f t="shared" ref="S158" si="366">R158+S157</f>
        <v>19786.873793103448</v>
      </c>
      <c r="T158" s="39">
        <f t="shared" ref="T158" si="367">S158+T157</f>
        <v>19858.873793103448</v>
      </c>
      <c r="U158" s="39">
        <f t="shared" ref="U158" si="368">T158+U157</f>
        <v>19930.873793103448</v>
      </c>
      <c r="V158" s="39">
        <f t="shared" ref="V158" si="369">U158+V157</f>
        <v>20002.873793103448</v>
      </c>
      <c r="W158" s="39">
        <f t="shared" ref="W158" si="370">V158+W157</f>
        <v>20074.873793103448</v>
      </c>
      <c r="X158" s="39">
        <f t="shared" ref="X158" si="371">W158+X157</f>
        <v>20146.873793103448</v>
      </c>
      <c r="Y158" s="39">
        <f t="shared" ref="Y158" si="372">X158+Y157</f>
        <v>20218.873793103448</v>
      </c>
      <c r="Z158" s="39">
        <f t="shared" ref="Z158" si="373">Y158+Z157</f>
        <v>20290.873793103448</v>
      </c>
      <c r="AA158" s="39">
        <f t="shared" ref="AA158" si="374">Z158+AA157</f>
        <v>20362.873793103448</v>
      </c>
      <c r="AB158" s="39">
        <f t="shared" ref="AB158" si="375">AA158+AB157</f>
        <v>20434.873793103448</v>
      </c>
      <c r="AC158" s="39">
        <f t="shared" ref="AC158" si="376">AB158+AC157</f>
        <v>20506.873793103448</v>
      </c>
      <c r="AD158" s="39">
        <f t="shared" ref="AD158" si="377">AC158+AD157</f>
        <v>20578.873793103448</v>
      </c>
      <c r="AE158" s="39">
        <f t="shared" ref="AE158" si="378">AD158+AE157</f>
        <v>20650.873793103448</v>
      </c>
      <c r="AF158" s="39">
        <f t="shared" ref="AF158" si="379">AE158+AF157</f>
        <v>20722.873793103448</v>
      </c>
      <c r="AG158" s="36"/>
    </row>
    <row r="159" spans="1:33" x14ac:dyDescent="0.25">
      <c r="A159" s="36" t="s">
        <v>99</v>
      </c>
      <c r="B159" s="39">
        <f>SUM($AG$130:$AG$153)</f>
        <v>20690.873793103448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>
        <f>SUM($AG$130:$AG$153)</f>
        <v>20690.873793103448</v>
      </c>
    </row>
    <row r="160" spans="1:33" x14ac:dyDescent="0.25">
      <c r="A160" s="36" t="s">
        <v>115</v>
      </c>
      <c r="B160" s="39">
        <f>B158</f>
        <v>18562.873793103448</v>
      </c>
      <c r="C160" s="40">
        <f>SUM(C158/C2)</f>
        <v>18634.873793103448</v>
      </c>
      <c r="D160" s="40">
        <f t="shared" ref="D160:AF160" si="380">SUM(D158/D2)</f>
        <v>9353.4368965517242</v>
      </c>
      <c r="E160" s="40">
        <f t="shared" si="380"/>
        <v>6259.6245977011495</v>
      </c>
      <c r="F160" s="40">
        <f t="shared" si="380"/>
        <v>4712.7184482758621</v>
      </c>
      <c r="G160" s="40">
        <f t="shared" si="380"/>
        <v>3784.5747586206899</v>
      </c>
      <c r="H160" s="40">
        <f t="shared" si="380"/>
        <v>3165.8122988505747</v>
      </c>
      <c r="I160" s="40">
        <f t="shared" si="380"/>
        <v>2723.8391133004925</v>
      </c>
      <c r="J160" s="40">
        <f t="shared" si="380"/>
        <v>2392.3592241379311</v>
      </c>
      <c r="K160" s="40">
        <f t="shared" si="380"/>
        <v>2134.5415325670497</v>
      </c>
      <c r="L160" s="40">
        <f t="shared" si="380"/>
        <v>1928.2873793103449</v>
      </c>
      <c r="M160" s="40">
        <f t="shared" si="380"/>
        <v>1759.5339811912227</v>
      </c>
      <c r="N160" s="40">
        <f t="shared" si="380"/>
        <v>1618.9061494252874</v>
      </c>
      <c r="O160" s="40">
        <f t="shared" si="380"/>
        <v>1499.9133687002652</v>
      </c>
      <c r="P160" s="40">
        <f t="shared" si="380"/>
        <v>1397.9195566502462</v>
      </c>
      <c r="Q160" s="40">
        <f t="shared" si="380"/>
        <v>1309.5249195402298</v>
      </c>
      <c r="R160" s="40">
        <f t="shared" si="380"/>
        <v>1232.1796120689655</v>
      </c>
      <c r="S160" s="40">
        <f t="shared" si="380"/>
        <v>1163.933752535497</v>
      </c>
      <c r="T160" s="40">
        <f t="shared" si="380"/>
        <v>1103.2707662835248</v>
      </c>
      <c r="U160" s="40">
        <f t="shared" si="380"/>
        <v>1048.9933575317605</v>
      </c>
      <c r="V160" s="40">
        <f t="shared" si="380"/>
        <v>1000.1436896551725</v>
      </c>
      <c r="W160" s="40">
        <f t="shared" si="380"/>
        <v>955.94637110016424</v>
      </c>
      <c r="X160" s="40">
        <f t="shared" si="380"/>
        <v>915.76699059561133</v>
      </c>
      <c r="Y160" s="40">
        <f t="shared" si="380"/>
        <v>879.08146926536733</v>
      </c>
      <c r="Z160" s="40">
        <f t="shared" si="380"/>
        <v>845.45307471264368</v>
      </c>
      <c r="AA160" s="40">
        <f t="shared" si="380"/>
        <v>814.51495172413797</v>
      </c>
      <c r="AB160" s="40">
        <f t="shared" si="380"/>
        <v>785.9566843501326</v>
      </c>
      <c r="AC160" s="40">
        <f t="shared" si="380"/>
        <v>759.5138441890166</v>
      </c>
      <c r="AD160" s="40">
        <f t="shared" si="380"/>
        <v>734.95977832512312</v>
      </c>
      <c r="AE160" s="40">
        <f t="shared" si="380"/>
        <v>712.09909631391201</v>
      </c>
      <c r="AF160" s="40">
        <f t="shared" si="380"/>
        <v>690.7624597701149</v>
      </c>
      <c r="AG160" s="39"/>
    </row>
    <row r="161" spans="1:33" s="74" customFormat="1" x14ac:dyDescent="0.25">
      <c r="A161" s="73" t="s">
        <v>108</v>
      </c>
      <c r="B161" s="73">
        <f>(B158/B156)</f>
        <v>6.3730812624380982E-3</v>
      </c>
      <c r="C161" s="73">
        <f t="shared" ref="C161:AF161" si="381">(C158/C156)</f>
        <v>6.3978005950161183E-3</v>
      </c>
      <c r="D161" s="73">
        <f t="shared" si="381"/>
        <v>3.2112599637970697E-3</v>
      </c>
      <c r="E161" s="73">
        <f t="shared" si="381"/>
        <v>2.14907975339072E-3</v>
      </c>
      <c r="F161" s="73">
        <f t="shared" si="381"/>
        <v>1.6179896481875449E-3</v>
      </c>
      <c r="G161" s="73">
        <f t="shared" si="381"/>
        <v>1.29933558506564E-3</v>
      </c>
      <c r="H161" s="73">
        <f t="shared" si="381"/>
        <v>1.08689954298437E-3</v>
      </c>
      <c r="I161" s="73">
        <f t="shared" si="381"/>
        <v>9.3515951292632009E-4</v>
      </c>
      <c r="J161" s="73">
        <f t="shared" si="381"/>
        <v>8.2135449038278261E-4</v>
      </c>
      <c r="K161" s="73">
        <f t="shared" si="381"/>
        <v>7.3283947284892017E-4</v>
      </c>
      <c r="L161" s="73">
        <f t="shared" si="381"/>
        <v>6.6202745882183018E-4</v>
      </c>
      <c r="M161" s="73">
        <f t="shared" si="381"/>
        <v>6.0409035643602929E-4</v>
      </c>
      <c r="N161" s="73">
        <f t="shared" si="381"/>
        <v>5.5580943778119518E-4</v>
      </c>
      <c r="O161" s="73">
        <f t="shared" si="381"/>
        <v>5.1495635276556644E-4</v>
      </c>
      <c r="P161" s="73">
        <f t="shared" si="381"/>
        <v>4.7993942275217027E-4</v>
      </c>
      <c r="Q161" s="73">
        <f t="shared" si="381"/>
        <v>4.4959141674056025E-4</v>
      </c>
      <c r="R161" s="73">
        <f t="shared" si="381"/>
        <v>4.2303691148040152E-4</v>
      </c>
      <c r="S161" s="73">
        <f t="shared" si="381"/>
        <v>3.9960646566261442E-4</v>
      </c>
      <c r="T161" s="73">
        <f t="shared" si="381"/>
        <v>3.787794027134703E-4</v>
      </c>
      <c r="U161" s="73">
        <f t="shared" si="381"/>
        <v>3.6014466218002556E-4</v>
      </c>
      <c r="V161" s="73">
        <f t="shared" si="381"/>
        <v>3.4337339569992531E-4</v>
      </c>
      <c r="W161" s="73">
        <f t="shared" si="381"/>
        <v>3.2819939269412032E-4</v>
      </c>
      <c r="X161" s="73">
        <f t="shared" si="381"/>
        <v>3.1440484450702486E-4</v>
      </c>
      <c r="Y161" s="73">
        <f t="shared" si="381"/>
        <v>3.0180982224924205E-4</v>
      </c>
      <c r="Z161" s="73">
        <f t="shared" si="381"/>
        <v>2.9026438517960781E-4</v>
      </c>
      <c r="AA161" s="73">
        <f t="shared" si="381"/>
        <v>2.7964258307554431E-4</v>
      </c>
      <c r="AB161" s="73">
        <f t="shared" si="381"/>
        <v>2.6983784267179339E-4</v>
      </c>
      <c r="AC161" s="73">
        <f t="shared" si="381"/>
        <v>2.6075937933498698E-4</v>
      </c>
      <c r="AD161" s="73">
        <f t="shared" si="381"/>
        <v>2.5232937766509535E-4</v>
      </c>
      <c r="AE161" s="73">
        <f t="shared" si="381"/>
        <v>2.4448075542071344E-4</v>
      </c>
      <c r="AF161" s="73">
        <f t="shared" si="381"/>
        <v>2.3715537465929034E-4</v>
      </c>
      <c r="AG161" s="73"/>
    </row>
    <row r="162" spans="1:33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</row>
    <row r="163" spans="1:33" x14ac:dyDescent="0.25">
      <c r="A163" s="35" t="s">
        <v>75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</row>
    <row r="164" spans="1:33" x14ac:dyDescent="0.25">
      <c r="A164" s="36" t="s">
        <v>138</v>
      </c>
      <c r="B164" s="40">
        <f>(B159/B155)</f>
        <v>2.5928413274565725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7"/>
      <c r="AA164" s="36"/>
      <c r="AB164" s="36"/>
      <c r="AC164" s="36"/>
      <c r="AD164" s="36"/>
      <c r="AE164" s="36"/>
      <c r="AF164" s="36"/>
      <c r="AG164" s="36"/>
    </row>
    <row r="168" spans="1:33" x14ac:dyDescent="0.25">
      <c r="B168" s="5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672A0-3A07-44EC-88F1-C884E1810FA1}">
  <dimension ref="A1"/>
  <sheetViews>
    <sheetView topLeftCell="A22" workbookViewId="0">
      <selection activeCell="O130" sqref="O130"/>
    </sheetView>
  </sheetViews>
  <sheetFormatPr defaultRowHeight="15" x14ac:dyDescent="0.25"/>
  <sheetData/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02B0E-8F63-41E7-B16E-31523687C9E4}">
  <dimension ref="A1:AE85"/>
  <sheetViews>
    <sheetView topLeftCell="A64" zoomScale="75" zoomScaleNormal="75" workbookViewId="0">
      <selection activeCell="A84" sqref="A84"/>
    </sheetView>
  </sheetViews>
  <sheetFormatPr defaultRowHeight="15" x14ac:dyDescent="0.25"/>
  <cols>
    <col min="1" max="1" width="81" customWidth="1"/>
    <col min="2" max="2" width="11.5703125" bestFit="1" customWidth="1"/>
    <col min="3" max="4" width="11" bestFit="1" customWidth="1"/>
    <col min="5" max="8" width="9.85546875" bestFit="1" customWidth="1"/>
  </cols>
  <sheetData>
    <row r="1" spans="1:31" x14ac:dyDescent="0.25">
      <c r="A1" t="s">
        <v>170</v>
      </c>
    </row>
    <row r="2" spans="1:31" x14ac:dyDescent="0.25">
      <c r="A2" t="s">
        <v>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</row>
    <row r="3" spans="1:31" x14ac:dyDescent="0.25">
      <c r="A3" t="s">
        <v>145</v>
      </c>
      <c r="B3">
        <v>1.2052228032466077E-2</v>
      </c>
      <c r="C3">
        <v>1.2329408745308142E-2</v>
      </c>
      <c r="D3">
        <v>6.3032947290751033E-3</v>
      </c>
      <c r="E3">
        <v>4.2945900569974242E-3</v>
      </c>
      <c r="F3">
        <v>3.2902377209585842E-3</v>
      </c>
      <c r="G3">
        <v>2.6876263193352803E-3</v>
      </c>
      <c r="H3">
        <v>2.2858853849197442E-3</v>
      </c>
      <c r="I3">
        <v>1.9989275746229327E-3</v>
      </c>
      <c r="J3">
        <v>1.7837092169003239E-3</v>
      </c>
      <c r="K3">
        <v>1.6163171608938507E-3</v>
      </c>
      <c r="L3">
        <v>1.4824035160886718E-3</v>
      </c>
      <c r="M3">
        <v>1.3728378067026166E-3</v>
      </c>
      <c r="N3">
        <v>1.2815330488809039E-3</v>
      </c>
      <c r="O3">
        <v>1.2042751768779163E-3</v>
      </c>
      <c r="P3">
        <v>1.1380541437324982E-3</v>
      </c>
      <c r="Q3">
        <v>1.0806625816731359E-3</v>
      </c>
      <c r="R3">
        <v>1.0304449648711937E-3</v>
      </c>
      <c r="S3">
        <v>9.8613530298712732E-4</v>
      </c>
      <c r="T3">
        <v>9.467489368679571E-4</v>
      </c>
      <c r="U3">
        <v>9.1150850402448903E-4</v>
      </c>
      <c r="V3">
        <v>8.7979211446536775E-4</v>
      </c>
      <c r="W3">
        <v>8.5109633343568658E-4</v>
      </c>
      <c r="X3">
        <v>8.2500925977234006E-4</v>
      </c>
      <c r="Y3">
        <v>8.0119062729711065E-4</v>
      </c>
      <c r="Z3">
        <v>7.7935688086148383E-4</v>
      </c>
      <c r="AA3">
        <v>7.5926983414070694E-4</v>
      </c>
      <c r="AB3">
        <v>7.4072794485998989E-4</v>
      </c>
      <c r="AC3">
        <v>7.2355952885932594E-4</v>
      </c>
      <c r="AD3">
        <v>7.0761742828728087E-4</v>
      </c>
      <c r="AE3">
        <v>6.9277478292710103E-4</v>
      </c>
    </row>
    <row r="4" spans="1:31" x14ac:dyDescent="0.25">
      <c r="A4" t="s">
        <v>144</v>
      </c>
      <c r="B4">
        <v>3.4253940197378112E-3</v>
      </c>
      <c r="C4">
        <v>3.451907497422301E-3</v>
      </c>
      <c r="D4">
        <v>1.7392104875533954E-3</v>
      </c>
      <c r="E4">
        <v>1.1683114842637602E-3</v>
      </c>
      <c r="F4">
        <v>8.8286198261894257E-4</v>
      </c>
      <c r="G4">
        <v>7.1159228163205203E-4</v>
      </c>
      <c r="H4">
        <v>5.9741248097412497E-4</v>
      </c>
      <c r="I4">
        <v>5.158554805041771E-4</v>
      </c>
      <c r="J4">
        <v>4.5468773015171622E-4</v>
      </c>
      <c r="K4">
        <v>4.0711281321091327E-4</v>
      </c>
      <c r="L4">
        <v>3.690528796582709E-4</v>
      </c>
      <c r="M4">
        <v>3.379129340242908E-4</v>
      </c>
      <c r="N4">
        <v>3.1196297932930742E-4</v>
      </c>
      <c r="O4">
        <v>2.9000532535662914E-4</v>
      </c>
      <c r="P4">
        <v>2.7118447909433343E-4</v>
      </c>
      <c r="Q4">
        <v>2.5487307900034389E-4</v>
      </c>
      <c r="R4">
        <v>2.4060060391810299E-4</v>
      </c>
      <c r="S4">
        <v>2.2800724355141985E-4</v>
      </c>
      <c r="T4">
        <v>2.1681314544770152E-4</v>
      </c>
      <c r="U4">
        <v>2.0679737346016407E-4</v>
      </c>
      <c r="V4">
        <v>1.9778317867138036E-4</v>
      </c>
      <c r="W4">
        <v>1.8962747862438556E-4</v>
      </c>
      <c r="X4">
        <v>1.8221320585439031E-4</v>
      </c>
      <c r="Y4">
        <v>1.7544365245569896E-4</v>
      </c>
      <c r="Z4">
        <v>1.6923822850689859E-4</v>
      </c>
      <c r="AA4">
        <v>1.6352923847400225E-4</v>
      </c>
      <c r="AB4">
        <v>1.5825940152055945E-4</v>
      </c>
      <c r="AC4">
        <v>1.5337992285996427E-4</v>
      </c>
      <c r="AD4">
        <v>1.4884897838941162E-4</v>
      </c>
      <c r="AE4">
        <v>1.446305128478626E-4</v>
      </c>
    </row>
    <row r="5" spans="1:31" x14ac:dyDescent="0.25">
      <c r="A5" t="s">
        <v>146</v>
      </c>
      <c r="B5">
        <v>1.2E-2</v>
      </c>
      <c r="C5">
        <v>1.6287671232876711E-2</v>
      </c>
      <c r="D5">
        <v>1.0287671232876713E-2</v>
      </c>
      <c r="E5">
        <v>1.0607305936073059E-2</v>
      </c>
      <c r="F5">
        <v>9.027397260273972E-3</v>
      </c>
      <c r="G5">
        <v>8.0794520547945205E-3</v>
      </c>
      <c r="H5">
        <v>8.6073059360730602E-3</v>
      </c>
      <c r="I5">
        <v>7.9902152641878662E-3</v>
      </c>
      <c r="J5">
        <v>7.5273972602739724E-3</v>
      </c>
      <c r="K5">
        <v>7.9406392694063924E-3</v>
      </c>
      <c r="L5">
        <v>7.5753424657534251E-3</v>
      </c>
      <c r="M5">
        <v>7.2764632627646325E-3</v>
      </c>
      <c r="N5">
        <v>7.6073059360730593E-3</v>
      </c>
      <c r="O5">
        <v>7.3519494204425714E-3</v>
      </c>
      <c r="P5">
        <v>7.1330724070450095E-3</v>
      </c>
      <c r="Q5">
        <v>7.4073059360730597E-3</v>
      </c>
      <c r="R5">
        <v>7.2123287671232873E-3</v>
      </c>
      <c r="S5">
        <v>7.0402900886381951E-3</v>
      </c>
      <c r="T5">
        <v>7.2739726027397263E-3</v>
      </c>
      <c r="U5">
        <v>7.1167988464311462E-3</v>
      </c>
      <c r="V5">
        <v>6.9753424657534244E-3</v>
      </c>
      <c r="W5">
        <v>7.178734507501631E-3</v>
      </c>
      <c r="X5">
        <v>7.0473225404732252E-3</v>
      </c>
      <c r="Y5">
        <v>6.9273377010125071E-3</v>
      </c>
      <c r="Z5">
        <v>7.1073059360730597E-3</v>
      </c>
      <c r="AA5">
        <v>6.9945205479452054E-3</v>
      </c>
      <c r="AB5">
        <v>6.8904109589041094E-3</v>
      </c>
      <c r="AC5">
        <v>7.0517503805175036E-3</v>
      </c>
      <c r="AD5">
        <v>6.9530332681017612E-3</v>
      </c>
      <c r="AE5">
        <v>6.8611242324043455E-3</v>
      </c>
    </row>
    <row r="6" spans="1:31" x14ac:dyDescent="0.25">
      <c r="A6" t="s">
        <v>147</v>
      </c>
      <c r="B6">
        <v>2.3766666666666665</v>
      </c>
      <c r="C6">
        <v>2.4183333333333334</v>
      </c>
      <c r="D6">
        <v>1.23</v>
      </c>
      <c r="E6">
        <v>1.4805555555555556</v>
      </c>
      <c r="F6">
        <v>1.1208333333333333</v>
      </c>
      <c r="G6">
        <v>0.90500000000000003</v>
      </c>
      <c r="H6">
        <v>1.0844444444444445</v>
      </c>
      <c r="I6">
        <v>0.93547619047619046</v>
      </c>
      <c r="J6">
        <v>0.82374999999999998</v>
      </c>
      <c r="K6">
        <v>0.95240740740740737</v>
      </c>
      <c r="L6">
        <v>0.86133333333333328</v>
      </c>
      <c r="M6">
        <v>0.78681818181818186</v>
      </c>
      <c r="N6">
        <v>0.88638888888888889</v>
      </c>
      <c r="O6">
        <v>0.82141025641025645</v>
      </c>
      <c r="P6">
        <v>0.76571428571428568</v>
      </c>
      <c r="Q6">
        <v>0.84677777777777774</v>
      </c>
      <c r="R6">
        <v>0.79645833333333338</v>
      </c>
      <c r="S6">
        <v>0.75205882352941178</v>
      </c>
      <c r="T6">
        <v>0.82037037037037042</v>
      </c>
      <c r="U6">
        <v>0.77938596491228074</v>
      </c>
      <c r="V6">
        <v>0.74250000000000005</v>
      </c>
      <c r="W6">
        <v>0.8015079365079365</v>
      </c>
      <c r="X6">
        <v>0.76696969696969697</v>
      </c>
      <c r="Y6">
        <v>0.73543478260869566</v>
      </c>
      <c r="Z6">
        <v>0.78736111111111107</v>
      </c>
      <c r="AA6">
        <v>0.75753333333333328</v>
      </c>
      <c r="AB6">
        <v>0.73</v>
      </c>
      <c r="AC6">
        <v>0.77635802469135806</v>
      </c>
      <c r="AD6">
        <v>0.75011904761904757</v>
      </c>
      <c r="AE6">
        <v>0.72568965517241379</v>
      </c>
    </row>
    <row r="7" spans="1:31" x14ac:dyDescent="0.25">
      <c r="A7" t="s">
        <v>148</v>
      </c>
      <c r="B7">
        <v>2.22525</v>
      </c>
      <c r="C7">
        <v>2.2502499999999999</v>
      </c>
      <c r="D7">
        <v>1.1376250000000001</v>
      </c>
      <c r="E7">
        <v>1.3810833333333334</v>
      </c>
      <c r="F7">
        <v>1.0420624999999999</v>
      </c>
      <c r="G7">
        <v>0.83865000000000001</v>
      </c>
      <c r="H7">
        <v>1.0102083333333334</v>
      </c>
      <c r="I7">
        <v>0.86946428571428569</v>
      </c>
      <c r="J7">
        <v>0.76390625000000001</v>
      </c>
      <c r="K7">
        <v>0.88658333333333328</v>
      </c>
      <c r="L7">
        <v>0.80042500000000005</v>
      </c>
      <c r="M7">
        <v>0.72993181818181818</v>
      </c>
      <c r="N7">
        <v>0.82477083333333334</v>
      </c>
      <c r="O7">
        <v>0.76324999999999998</v>
      </c>
      <c r="P7">
        <v>0.71051785714285709</v>
      </c>
      <c r="Q7">
        <v>0.78768333333333329</v>
      </c>
      <c r="R7">
        <v>0.74001562499999995</v>
      </c>
      <c r="S7">
        <v>0.69795588235294115</v>
      </c>
      <c r="T7">
        <v>0.76295833333333329</v>
      </c>
      <c r="U7">
        <v>0.72411842105263158</v>
      </c>
      <c r="V7">
        <v>0.68916250000000001</v>
      </c>
      <c r="W7">
        <v>0.74529761904761904</v>
      </c>
      <c r="X7">
        <v>0.71255681818181815</v>
      </c>
      <c r="Y7">
        <v>0.6826630434782609</v>
      </c>
      <c r="Z7">
        <v>0.73205208333333338</v>
      </c>
      <c r="AA7">
        <v>0.70377000000000001</v>
      </c>
      <c r="AB7">
        <v>0.67766346153846158</v>
      </c>
      <c r="AC7">
        <v>0.72175</v>
      </c>
      <c r="AD7">
        <v>0.69686607142857138</v>
      </c>
      <c r="AE7">
        <v>0.67369827586206898</v>
      </c>
    </row>
    <row r="8" spans="1:31" x14ac:dyDescent="0.25">
      <c r="A8" t="s">
        <v>149</v>
      </c>
      <c r="B8">
        <v>2.9027397260273972E-2</v>
      </c>
      <c r="C8">
        <v>2.9027397260273972E-2</v>
      </c>
      <c r="D8">
        <v>1.4513698630136986E-2</v>
      </c>
      <c r="E8">
        <v>9.6757990867579902E-3</v>
      </c>
      <c r="F8">
        <v>7.2568493150684931E-3</v>
      </c>
      <c r="G8">
        <v>5.8054794520547943E-3</v>
      </c>
      <c r="H8">
        <v>4.8378995433789951E-3</v>
      </c>
      <c r="I8">
        <v>4.1467710371819958E-3</v>
      </c>
      <c r="J8">
        <v>3.6284246575342466E-3</v>
      </c>
      <c r="K8">
        <v>3.2252663622526637E-3</v>
      </c>
      <c r="L8">
        <v>2.9027397260273972E-3</v>
      </c>
      <c r="M8">
        <v>2.638854296388543E-3</v>
      </c>
      <c r="N8">
        <v>2.4189497716894976E-3</v>
      </c>
      <c r="O8">
        <v>2.2328767123287671E-3</v>
      </c>
      <c r="P8">
        <v>2.0733855185909979E-3</v>
      </c>
      <c r="Q8">
        <v>1.9351598173515982E-3</v>
      </c>
      <c r="R8">
        <v>3.6190068493150685E-3</v>
      </c>
      <c r="S8">
        <v>3.4061240934730058E-3</v>
      </c>
      <c r="T8">
        <v>3.2168949771689496E-3</v>
      </c>
      <c r="U8">
        <v>3.0475847152126893E-3</v>
      </c>
      <c r="V8">
        <v>2.895205479452055E-3</v>
      </c>
      <c r="W8">
        <v>2.7573385518590999E-3</v>
      </c>
      <c r="X8">
        <v>2.6320049813200498E-3</v>
      </c>
      <c r="Y8">
        <v>2.5175699821322214E-3</v>
      </c>
      <c r="Z8">
        <v>2.4126712328767122E-3</v>
      </c>
      <c r="AA8">
        <v>2.3161643835616437E-3</v>
      </c>
      <c r="AB8">
        <v>2.2270811380400422E-3</v>
      </c>
      <c r="AC8">
        <v>2.1445966514459665E-3</v>
      </c>
      <c r="AD8">
        <v>2.0680039138943249E-3</v>
      </c>
      <c r="AE8">
        <v>1.9966934341048652E-3</v>
      </c>
    </row>
    <row r="9" spans="1:31" x14ac:dyDescent="0.25">
      <c r="A9" t="s">
        <v>150</v>
      </c>
      <c r="B9">
        <v>2.9027397260273972E-2</v>
      </c>
      <c r="C9">
        <v>2.9027397260273972E-2</v>
      </c>
      <c r="D9">
        <v>1.4513698630136986E-2</v>
      </c>
      <c r="E9">
        <v>9.6757990867579902E-3</v>
      </c>
      <c r="F9">
        <v>7.2568493150684931E-3</v>
      </c>
      <c r="G9">
        <v>5.8054794520547943E-3</v>
      </c>
      <c r="H9">
        <v>4.8378995433789951E-3</v>
      </c>
      <c r="I9">
        <v>4.1467710371819958E-3</v>
      </c>
      <c r="J9">
        <v>3.6284246575342466E-3</v>
      </c>
      <c r="K9">
        <v>3.2252663622526637E-3</v>
      </c>
      <c r="L9">
        <v>2.9027397260273972E-3</v>
      </c>
      <c r="M9">
        <v>2.638854296388543E-3</v>
      </c>
      <c r="N9">
        <v>2.4189497716894976E-3</v>
      </c>
      <c r="O9">
        <v>2.2328767123287671E-3</v>
      </c>
      <c r="P9">
        <v>2.0733855185909979E-3</v>
      </c>
      <c r="Q9">
        <v>1.9351598173515982E-3</v>
      </c>
      <c r="R9">
        <v>3.6190068493150685E-3</v>
      </c>
      <c r="S9">
        <v>3.4061240934730058E-3</v>
      </c>
      <c r="T9">
        <v>3.2168949771689496E-3</v>
      </c>
      <c r="U9">
        <v>3.0475847152126893E-3</v>
      </c>
      <c r="V9">
        <v>2.895205479452055E-3</v>
      </c>
      <c r="W9">
        <v>2.7573385518590999E-3</v>
      </c>
      <c r="X9">
        <v>2.6320049813200498E-3</v>
      </c>
      <c r="Y9">
        <v>2.5175699821322214E-3</v>
      </c>
      <c r="Z9">
        <v>2.4126712328767122E-3</v>
      </c>
      <c r="AA9">
        <v>2.3161643835616437E-3</v>
      </c>
      <c r="AB9">
        <v>2.2270811380400422E-3</v>
      </c>
      <c r="AC9">
        <v>2.1445966514459665E-3</v>
      </c>
      <c r="AD9">
        <v>2.0680039138943249E-3</v>
      </c>
      <c r="AE9">
        <v>1.9966934341048652E-3</v>
      </c>
    </row>
    <row r="10" spans="1:31" x14ac:dyDescent="0.25">
      <c r="A10" t="s">
        <v>151</v>
      </c>
      <c r="B10">
        <v>2.9027397260273972E-2</v>
      </c>
      <c r="C10">
        <v>2.9027397260273972E-2</v>
      </c>
      <c r="D10">
        <v>1.4513698630136986E-2</v>
      </c>
      <c r="E10">
        <v>9.6757990867579902E-3</v>
      </c>
      <c r="F10">
        <v>7.2568493150684931E-3</v>
      </c>
      <c r="G10">
        <v>5.8054794520547943E-3</v>
      </c>
      <c r="H10">
        <v>4.8378995433789951E-3</v>
      </c>
      <c r="I10">
        <v>4.1467710371819958E-3</v>
      </c>
      <c r="J10">
        <v>3.6284246575342466E-3</v>
      </c>
      <c r="K10">
        <v>3.2252663622526637E-3</v>
      </c>
      <c r="L10">
        <v>2.9027397260273972E-3</v>
      </c>
      <c r="M10">
        <v>2.638854296388543E-3</v>
      </c>
      <c r="N10">
        <v>2.4189497716894976E-3</v>
      </c>
      <c r="O10">
        <v>2.2328767123287671E-3</v>
      </c>
      <c r="P10">
        <v>2.0733855185909979E-3</v>
      </c>
      <c r="Q10">
        <v>1.9351598173515982E-3</v>
      </c>
      <c r="R10">
        <v>3.6190068493150685E-3</v>
      </c>
      <c r="S10">
        <v>3.4061240934730058E-3</v>
      </c>
      <c r="T10">
        <v>3.2168949771689496E-3</v>
      </c>
      <c r="U10">
        <v>3.0475847152126893E-3</v>
      </c>
      <c r="V10">
        <v>2.895205479452055E-3</v>
      </c>
      <c r="W10">
        <v>2.7573385518590999E-3</v>
      </c>
      <c r="X10">
        <v>2.6320049813200498E-3</v>
      </c>
      <c r="Y10">
        <v>2.5175699821322214E-3</v>
      </c>
      <c r="Z10">
        <v>2.4126712328767122E-3</v>
      </c>
      <c r="AA10">
        <v>2.3161643835616437E-3</v>
      </c>
      <c r="AB10">
        <v>2.2270811380400422E-3</v>
      </c>
      <c r="AC10">
        <v>2.1445966514459665E-3</v>
      </c>
      <c r="AD10">
        <v>2.0680039138943249E-3</v>
      </c>
      <c r="AE10">
        <v>1.9966934341048652E-3</v>
      </c>
    </row>
    <row r="11" spans="1:31" x14ac:dyDescent="0.25">
      <c r="A11" t="s">
        <v>152</v>
      </c>
      <c r="B11">
        <v>3.2829896659456861E-2</v>
      </c>
      <c r="C11">
        <v>3.317596731554915E-2</v>
      </c>
      <c r="D11">
        <v>1.6761018985820716E-2</v>
      </c>
      <c r="E11">
        <v>1.1289369542577907E-2</v>
      </c>
      <c r="F11">
        <v>8.5535448209565004E-3</v>
      </c>
      <c r="G11">
        <v>6.9120499879836584E-3</v>
      </c>
      <c r="H11">
        <v>5.8177200993350959E-3</v>
      </c>
      <c r="I11">
        <v>5.0360558931575516E-3</v>
      </c>
      <c r="J11">
        <v>4.4498077385243936E-3</v>
      </c>
      <c r="K11">
        <v>3.9938369515874926E-3</v>
      </c>
      <c r="L11">
        <v>3.6290603220379717E-3</v>
      </c>
      <c r="M11">
        <v>3.3306067160429093E-3</v>
      </c>
      <c r="N11">
        <v>3.0818953777136909E-3</v>
      </c>
      <c r="O11">
        <v>2.8714473222043518E-3</v>
      </c>
      <c r="P11">
        <v>2.6910632746249183E-3</v>
      </c>
      <c r="Q11">
        <v>2.5347304333894097E-3</v>
      </c>
      <c r="R11">
        <v>2.3979391973083393E-3</v>
      </c>
      <c r="S11">
        <v>2.2772410478250423E-3</v>
      </c>
      <c r="T11">
        <v>2.1699538038398888E-3</v>
      </c>
      <c r="U11">
        <v>2.0739599539584363E-3</v>
      </c>
      <c r="V11">
        <v>1.9875654890651288E-3</v>
      </c>
      <c r="W11">
        <v>1.9093990684473743E-3</v>
      </c>
      <c r="X11">
        <v>1.8383386860675974E-3</v>
      </c>
      <c r="Y11">
        <v>1.7734574673730187E-3</v>
      </c>
      <c r="Z11">
        <v>1.7139830169029882E-3</v>
      </c>
      <c r="AA11">
        <v>1.65926652247056E-3</v>
      </c>
      <c r="AB11">
        <v>1.6087589891483187E-3</v>
      </c>
      <c r="AC11">
        <v>1.5619927545906878E-3</v>
      </c>
      <c r="AD11">
        <v>1.5185669653586019E-3</v>
      </c>
      <c r="AE11">
        <v>1.4781360581425222E-3</v>
      </c>
    </row>
    <row r="12" spans="1:31" x14ac:dyDescent="0.25">
      <c r="A12" t="s">
        <v>153</v>
      </c>
      <c r="B12">
        <v>1.8178739085155812E-2</v>
      </c>
      <c r="C12">
        <v>1.8294095970519907E-2</v>
      </c>
      <c r="D12">
        <v>9.2047264279420012E-3</v>
      </c>
      <c r="E12">
        <v>6.1749365804160327E-3</v>
      </c>
      <c r="F12">
        <v>4.6600416566530481E-3</v>
      </c>
      <c r="G12">
        <v>3.7511047023952577E-3</v>
      </c>
      <c r="H12">
        <v>3.1451467328900639E-3</v>
      </c>
      <c r="I12">
        <v>2.7123196118149255E-3</v>
      </c>
      <c r="J12">
        <v>2.3876992710085716E-3</v>
      </c>
      <c r="K12">
        <v>2.1352167837147408E-3</v>
      </c>
      <c r="L12">
        <v>1.9332307938796764E-3</v>
      </c>
      <c r="M12">
        <v>1.7679695294691689E-3</v>
      </c>
      <c r="N12">
        <v>1.6302518091270795E-3</v>
      </c>
      <c r="O12">
        <v>1.5137214303760807E-3</v>
      </c>
      <c r="P12">
        <v>1.4138382485895102E-3</v>
      </c>
      <c r="Q12">
        <v>1.3272728243744827E-3</v>
      </c>
      <c r="R12">
        <v>1.2515280781863335E-3</v>
      </c>
      <c r="S12">
        <v>1.1846944786085547E-3</v>
      </c>
      <c r="T12">
        <v>1.1252868345394181E-3</v>
      </c>
      <c r="U12">
        <v>1.0721326266880853E-3</v>
      </c>
      <c r="V12">
        <v>1.0242938396218858E-3</v>
      </c>
      <c r="W12">
        <v>9.8101112751437184E-4</v>
      </c>
      <c r="X12">
        <v>9.4166320741663207E-4</v>
      </c>
      <c r="Y12">
        <v>9.0573684558826095E-4</v>
      </c>
      <c r="Z12">
        <v>8.7280434724558735E-4</v>
      </c>
      <c r="AA12">
        <v>8.4250644877032768E-4</v>
      </c>
      <c r="AB12">
        <v>8.1453915787008796E-4</v>
      </c>
      <c r="AC12">
        <v>7.8864351814764372E-4</v>
      </c>
      <c r="AD12">
        <v>7.6459756697680274E-4</v>
      </c>
      <c r="AE12">
        <v>7.4220995726601978E-4</v>
      </c>
    </row>
    <row r="13" spans="1:31" x14ac:dyDescent="0.25">
      <c r="A13" t="s">
        <v>154</v>
      </c>
      <c r="B13">
        <v>8.1667417480877445E-3</v>
      </c>
      <c r="C13">
        <v>8.2359558793062022E-3</v>
      </c>
      <c r="D13">
        <v>4.1525850052623299E-3</v>
      </c>
      <c r="E13">
        <v>2.7914613805810388E-3</v>
      </c>
      <c r="F13">
        <v>2.1108995682403934E-3</v>
      </c>
      <c r="G13">
        <v>1.7025624808360061E-3</v>
      </c>
      <c r="H13">
        <v>1.430337755899748E-3</v>
      </c>
      <c r="I13">
        <v>1.2358915238024207E-3</v>
      </c>
      <c r="J13">
        <v>1.0900568497294253E-3</v>
      </c>
      <c r="K13">
        <v>9.7662988100598444E-4</v>
      </c>
      <c r="L13">
        <v>8.8588830602723159E-4</v>
      </c>
      <c r="M13">
        <v>8.1164519922643391E-4</v>
      </c>
      <c r="N13">
        <v>7.4977594355910254E-4</v>
      </c>
      <c r="O13">
        <v>6.9742503491751441E-4</v>
      </c>
      <c r="P13">
        <v>6.525528275104389E-4</v>
      </c>
      <c r="Q13">
        <v>6.1366358109097349E-4</v>
      </c>
      <c r="R13">
        <v>5.796354904739412E-4</v>
      </c>
      <c r="S13">
        <v>5.4961070463538332E-4</v>
      </c>
      <c r="T13">
        <v>5.2292200611222075E-4</v>
      </c>
      <c r="U13">
        <v>4.9904264427570689E-4</v>
      </c>
      <c r="V13">
        <v>4.7755121862284438E-4</v>
      </c>
      <c r="W13">
        <v>4.5810659541311162E-4</v>
      </c>
      <c r="X13">
        <v>4.4042966522244554E-4</v>
      </c>
      <c r="Y13">
        <v>4.2428985939618513E-4</v>
      </c>
      <c r="Z13">
        <v>4.094950373887798E-4</v>
      </c>
      <c r="AA13">
        <v>3.9588380114196693E-4</v>
      </c>
      <c r="AB13">
        <v>3.8331958306798579E-4</v>
      </c>
      <c r="AC13">
        <v>3.7168604781429954E-4</v>
      </c>
      <c r="AD13">
        <v>3.6088347936444798E-4</v>
      </c>
      <c r="AE13">
        <v>3.5082591563527591E-4</v>
      </c>
    </row>
    <row r="14" spans="1:31" x14ac:dyDescent="0.25">
      <c r="D14" s="6"/>
      <c r="E14" s="6"/>
      <c r="F14" s="6"/>
      <c r="G14" s="6"/>
      <c r="H14" s="6"/>
      <c r="I14" s="6"/>
      <c r="J14" s="6"/>
    </row>
    <row r="15" spans="1:31" x14ac:dyDescent="0.25">
      <c r="A15" t="s">
        <v>171</v>
      </c>
      <c r="D15" s="6"/>
      <c r="E15" s="6"/>
      <c r="F15" s="6"/>
      <c r="G15" s="6"/>
      <c r="H15" s="6"/>
      <c r="I15" s="6"/>
      <c r="J15" s="6"/>
    </row>
    <row r="16" spans="1:31" x14ac:dyDescent="0.25">
      <c r="A16" t="s">
        <v>155</v>
      </c>
      <c r="D16" s="6"/>
      <c r="E16" s="6"/>
      <c r="F16" s="6"/>
      <c r="G16" s="6"/>
      <c r="H16" s="6"/>
      <c r="I16" s="6"/>
      <c r="J16" s="6"/>
    </row>
    <row r="17" spans="1:10" x14ac:dyDescent="0.25">
      <c r="A17" t="s">
        <v>156</v>
      </c>
      <c r="B17">
        <f>SUM('Baseline Lead-Acid Battery'!B11,'Baseline Lead-Acid Battery'!B12,'Baseline Lead-Acid Battery'!B14)</f>
        <v>917.6</v>
      </c>
      <c r="D17" s="6"/>
      <c r="E17" s="6"/>
      <c r="F17" s="6"/>
      <c r="G17" s="6"/>
      <c r="H17" s="6"/>
      <c r="I17" s="6"/>
      <c r="J17" s="6"/>
    </row>
    <row r="18" spans="1:10" x14ac:dyDescent="0.25">
      <c r="A18" t="s">
        <v>157</v>
      </c>
      <c r="B18">
        <v>0</v>
      </c>
    </row>
    <row r="19" spans="1:10" x14ac:dyDescent="0.25">
      <c r="A19" t="s">
        <v>158</v>
      </c>
      <c r="B19">
        <f>'Baseline Lead-Acid Battery'!B15</f>
        <v>72</v>
      </c>
      <c r="D19" t="s">
        <v>166</v>
      </c>
    </row>
    <row r="20" spans="1:10" x14ac:dyDescent="0.25">
      <c r="A20" t="s">
        <v>159</v>
      </c>
      <c r="B20">
        <f>'Baseline Lead-Acid Battery'!AG16</f>
        <v>669.60000000000036</v>
      </c>
      <c r="D20" t="s">
        <v>168</v>
      </c>
    </row>
    <row r="21" spans="1:10" x14ac:dyDescent="0.25">
      <c r="A21" t="s">
        <v>160</v>
      </c>
      <c r="B21">
        <v>0</v>
      </c>
      <c r="D21" s="5">
        <v>52.74666666666667</v>
      </c>
      <c r="E21">
        <v>1</v>
      </c>
      <c r="F21">
        <v>3</v>
      </c>
      <c r="G21">
        <v>5</v>
      </c>
      <c r="H21">
        <v>8</v>
      </c>
      <c r="I21">
        <v>11</v>
      </c>
      <c r="J21">
        <v>14</v>
      </c>
    </row>
    <row r="22" spans="1:10" x14ac:dyDescent="0.25">
      <c r="D22" s="3">
        <v>15000</v>
      </c>
      <c r="E22" s="5">
        <v>75</v>
      </c>
      <c r="F22" s="5">
        <v>25</v>
      </c>
      <c r="G22" s="5">
        <v>15</v>
      </c>
      <c r="H22" s="5">
        <v>9.375</v>
      </c>
      <c r="I22" s="5">
        <v>6.8181818181818183</v>
      </c>
      <c r="J22" s="5">
        <v>5.3571428571428568</v>
      </c>
    </row>
    <row r="23" spans="1:10" x14ac:dyDescent="0.25">
      <c r="A23" t="s">
        <v>161</v>
      </c>
      <c r="D23" s="3">
        <v>30000</v>
      </c>
      <c r="E23" s="5">
        <v>150</v>
      </c>
      <c r="F23" s="5">
        <v>50</v>
      </c>
      <c r="G23" s="5">
        <v>30</v>
      </c>
      <c r="H23" s="5">
        <v>18.75</v>
      </c>
      <c r="I23" s="5">
        <v>13.636363636363637</v>
      </c>
      <c r="J23" s="5">
        <v>10.714285714285714</v>
      </c>
    </row>
    <row r="24" spans="1:10" x14ac:dyDescent="0.25">
      <c r="A24" t="s">
        <v>156</v>
      </c>
      <c r="B24">
        <f>SUM('Baseline Lead-Acid Battery'!B27,'Baseline Lead-Acid Battery'!B28,'Baseline Lead-Acid Battery'!B30)</f>
        <v>923</v>
      </c>
      <c r="D24" s="3">
        <v>45000</v>
      </c>
      <c r="E24" s="5">
        <v>225</v>
      </c>
      <c r="F24" s="5">
        <v>75</v>
      </c>
      <c r="G24" s="5">
        <v>45</v>
      </c>
      <c r="H24" s="5">
        <v>28.125</v>
      </c>
      <c r="I24" s="5">
        <v>20.454545454545453</v>
      </c>
      <c r="J24" s="5">
        <v>16.071428571428573</v>
      </c>
    </row>
    <row r="25" spans="1:10" x14ac:dyDescent="0.25">
      <c r="A25" t="s">
        <v>157</v>
      </c>
      <c r="B25">
        <v>0</v>
      </c>
      <c r="D25" s="3">
        <v>60000</v>
      </c>
      <c r="E25" s="5">
        <v>300</v>
      </c>
      <c r="F25" s="5">
        <v>100</v>
      </c>
      <c r="G25" s="5">
        <v>60</v>
      </c>
      <c r="H25" s="5">
        <v>37.5</v>
      </c>
      <c r="I25" s="5">
        <v>27.272727272727273</v>
      </c>
      <c r="J25" s="5">
        <v>21.428571428571427</v>
      </c>
    </row>
    <row r="26" spans="1:10" x14ac:dyDescent="0.25">
      <c r="A26" t="s">
        <v>158</v>
      </c>
      <c r="B26">
        <f>'Baseline Lead-Acid Battery'!B31</f>
        <v>458</v>
      </c>
      <c r="D26" s="3">
        <v>75000</v>
      </c>
      <c r="E26" s="5">
        <v>375</v>
      </c>
      <c r="F26" s="5">
        <v>125</v>
      </c>
      <c r="G26" s="5">
        <v>75</v>
      </c>
      <c r="H26" s="5">
        <v>46.875</v>
      </c>
      <c r="I26" s="5">
        <v>34.090909090909093</v>
      </c>
      <c r="J26" s="5">
        <v>26.785714285714285</v>
      </c>
    </row>
    <row r="27" spans="1:10" x14ac:dyDescent="0.25">
      <c r="A27" t="s">
        <v>159</v>
      </c>
      <c r="B27">
        <f>'Baseline Lead-Acid Battery'!AG32</f>
        <v>223.19999999999987</v>
      </c>
      <c r="D27" s="3">
        <v>90000</v>
      </c>
      <c r="E27" s="5">
        <v>450</v>
      </c>
      <c r="F27" s="5">
        <v>150</v>
      </c>
      <c r="G27" s="5">
        <v>90</v>
      </c>
      <c r="H27" s="5">
        <v>56.25</v>
      </c>
      <c r="I27" s="5">
        <v>40.909090909090907</v>
      </c>
      <c r="J27" s="5">
        <v>32.142857142857146</v>
      </c>
    </row>
    <row r="28" spans="1:10" x14ac:dyDescent="0.25">
      <c r="A28" t="s">
        <v>160</v>
      </c>
      <c r="B28">
        <v>0</v>
      </c>
      <c r="D28" s="5"/>
    </row>
    <row r="29" spans="1:10" x14ac:dyDescent="0.25">
      <c r="D29" s="5" t="s">
        <v>169</v>
      </c>
    </row>
    <row r="30" spans="1:10" x14ac:dyDescent="0.25">
      <c r="A30" t="s">
        <v>162</v>
      </c>
      <c r="D30" s="5">
        <v>21.183</v>
      </c>
      <c r="E30">
        <v>1</v>
      </c>
      <c r="F30">
        <v>3</v>
      </c>
      <c r="G30">
        <v>5</v>
      </c>
      <c r="H30">
        <v>8</v>
      </c>
      <c r="I30">
        <v>11</v>
      </c>
      <c r="J30">
        <v>14</v>
      </c>
    </row>
    <row r="31" spans="1:10" x14ac:dyDescent="0.25">
      <c r="A31" t="s">
        <v>156</v>
      </c>
      <c r="B31">
        <f>SUM('Baseline Lead-Acid Battery'!B46,'Baseline Lead-Acid Battery'!B48)</f>
        <v>563</v>
      </c>
      <c r="D31" s="3">
        <v>200</v>
      </c>
      <c r="E31" s="5">
        <v>63.534999999999997</v>
      </c>
      <c r="F31" s="5">
        <v>63.534999999999997</v>
      </c>
      <c r="G31" s="5">
        <v>63.534999999999997</v>
      </c>
      <c r="H31" s="5">
        <v>63.534999999999997</v>
      </c>
      <c r="I31" s="5">
        <v>63.534999999999997</v>
      </c>
      <c r="J31" s="5">
        <v>63.534999999999997</v>
      </c>
    </row>
    <row r="32" spans="1:10" x14ac:dyDescent="0.25">
      <c r="A32" t="s">
        <v>157</v>
      </c>
      <c r="B32">
        <f>SUM('Baseline Lead-Acid Battery'!AG46-B31)</f>
        <v>5025</v>
      </c>
      <c r="D32" s="3">
        <v>600</v>
      </c>
      <c r="E32" s="5">
        <v>28.241666666666667</v>
      </c>
      <c r="F32" s="5">
        <v>28.241666666666667</v>
      </c>
      <c r="G32" s="5">
        <v>28.241666666666667</v>
      </c>
      <c r="H32" s="5">
        <v>28.241666666666667</v>
      </c>
      <c r="I32" s="5">
        <v>28.241666666666667</v>
      </c>
      <c r="J32" s="5">
        <v>28.241666666666667</v>
      </c>
    </row>
    <row r="33" spans="1:10" x14ac:dyDescent="0.25">
      <c r="A33" t="s">
        <v>158</v>
      </c>
      <c r="B33">
        <f>'Baseline Lead-Acid Battery'!B49</f>
        <v>48</v>
      </c>
      <c r="D33" s="3">
        <v>1000</v>
      </c>
      <c r="E33" s="5">
        <v>21.183</v>
      </c>
      <c r="F33" s="5">
        <v>21.183</v>
      </c>
      <c r="G33" s="5">
        <v>21.183</v>
      </c>
      <c r="H33" s="5">
        <v>21.183</v>
      </c>
      <c r="I33" s="5">
        <v>21.183</v>
      </c>
      <c r="J33" s="5">
        <v>21.183</v>
      </c>
    </row>
    <row r="34" spans="1:10" x14ac:dyDescent="0.25">
      <c r="A34" t="s">
        <v>159</v>
      </c>
      <c r="B34">
        <f>'Baseline Lead-Acid Battery'!AG50</f>
        <v>8928</v>
      </c>
      <c r="D34" s="3">
        <v>1600</v>
      </c>
      <c r="E34" s="5">
        <v>17.212499999999999</v>
      </c>
      <c r="F34" s="5">
        <v>17.212499999999999</v>
      </c>
      <c r="G34" s="5">
        <v>17.212499999999999</v>
      </c>
      <c r="H34" s="5">
        <v>17.212499999999999</v>
      </c>
      <c r="I34" s="5">
        <v>17.212499999999999</v>
      </c>
      <c r="J34" s="5">
        <v>17.212499999999999</v>
      </c>
    </row>
    <row r="35" spans="1:10" x14ac:dyDescent="0.25">
      <c r="A35" t="s">
        <v>160</v>
      </c>
      <c r="B35">
        <f>'Baseline Lead-Acid Battery'!AG51</f>
        <v>775</v>
      </c>
      <c r="D35" s="3">
        <v>2200</v>
      </c>
      <c r="E35" s="5">
        <v>15.407727272727273</v>
      </c>
      <c r="F35" s="5">
        <v>15.407727272727273</v>
      </c>
      <c r="G35" s="5">
        <v>15.407727272727273</v>
      </c>
      <c r="H35" s="5">
        <v>15.407727272727273</v>
      </c>
      <c r="I35" s="5">
        <v>15.407727272727273</v>
      </c>
      <c r="J35" s="5">
        <v>15.407727272727273</v>
      </c>
    </row>
    <row r="36" spans="1:10" x14ac:dyDescent="0.25">
      <c r="D36" s="3">
        <v>2800</v>
      </c>
      <c r="E36" s="5">
        <v>14.376428571428571</v>
      </c>
      <c r="F36" s="5">
        <v>14.376428571428571</v>
      </c>
      <c r="G36" s="5">
        <v>14.376428571428571</v>
      </c>
      <c r="H36" s="5">
        <v>14.376428571428571</v>
      </c>
      <c r="I36" s="5">
        <v>14.376428571428571</v>
      </c>
      <c r="J36" s="5">
        <v>14.376428571428571</v>
      </c>
    </row>
    <row r="37" spans="1:10" x14ac:dyDescent="0.25">
      <c r="A37" t="s">
        <v>163</v>
      </c>
      <c r="D37" s="5"/>
    </row>
    <row r="38" spans="1:10" x14ac:dyDescent="0.25">
      <c r="A38" t="s">
        <v>156</v>
      </c>
      <c r="B38">
        <f>SUM('Lithium-Ion Battery Storage'!B46,'Lithium-Ion Battery Storage'!B48)</f>
        <v>2119</v>
      </c>
      <c r="D38" s="5" t="s">
        <v>167</v>
      </c>
    </row>
    <row r="39" spans="1:10" x14ac:dyDescent="0.25">
      <c r="A39" t="s">
        <v>157</v>
      </c>
      <c r="B39">
        <f>SUM('Lithium-Ion Battery Storage'!AG46-B38)</f>
        <v>2097</v>
      </c>
      <c r="D39" s="5">
        <v>3.7275274047186935</v>
      </c>
      <c r="E39">
        <v>1</v>
      </c>
      <c r="F39">
        <v>3</v>
      </c>
      <c r="G39">
        <v>5</v>
      </c>
      <c r="H39">
        <v>8</v>
      </c>
      <c r="I39">
        <v>11</v>
      </c>
      <c r="J39">
        <v>14</v>
      </c>
    </row>
    <row r="40" spans="1:10" x14ac:dyDescent="0.25">
      <c r="A40" t="s">
        <v>158</v>
      </c>
      <c r="B40">
        <f>'Lithium-Ion Battery Storage'!B49</f>
        <v>24</v>
      </c>
      <c r="D40" s="3">
        <v>6000</v>
      </c>
      <c r="E40" s="5">
        <v>10.526315789473685</v>
      </c>
      <c r="F40" s="5">
        <v>3.5087719298245612</v>
      </c>
      <c r="G40" s="5">
        <v>2.1052631578947367</v>
      </c>
      <c r="H40" s="5">
        <v>1.3157894736842106</v>
      </c>
      <c r="I40" s="5">
        <v>0.9569377990430622</v>
      </c>
      <c r="J40" s="5">
        <v>0.75187969924812026</v>
      </c>
    </row>
    <row r="41" spans="1:10" x14ac:dyDescent="0.25">
      <c r="A41" t="s">
        <v>159</v>
      </c>
      <c r="B41">
        <v>0</v>
      </c>
      <c r="D41" s="3">
        <v>8000</v>
      </c>
      <c r="E41" s="5">
        <v>14.035087719298245</v>
      </c>
      <c r="F41" s="5">
        <v>4.6783625730994149</v>
      </c>
      <c r="G41" s="5">
        <v>2.807017543859649</v>
      </c>
      <c r="H41" s="5">
        <v>1.7543859649122806</v>
      </c>
      <c r="I41" s="5">
        <v>1.2759170653907497</v>
      </c>
      <c r="J41" s="5">
        <v>1.0025062656641603</v>
      </c>
    </row>
    <row r="42" spans="1:10" x14ac:dyDescent="0.25">
      <c r="A42" t="s">
        <v>160</v>
      </c>
      <c r="B42">
        <v>0</v>
      </c>
      <c r="D42" s="3">
        <v>10000</v>
      </c>
      <c r="E42" s="5">
        <v>17.543859649122808</v>
      </c>
      <c r="F42" s="5">
        <v>5.8479532163742691</v>
      </c>
      <c r="G42" s="5">
        <v>3.5087719298245612</v>
      </c>
      <c r="H42" s="5">
        <v>2.192982456140351</v>
      </c>
      <c r="I42" s="5">
        <v>1.594896331738437</v>
      </c>
      <c r="J42" s="5">
        <v>1.2531328320802004</v>
      </c>
    </row>
    <row r="43" spans="1:10" x14ac:dyDescent="0.25">
      <c r="D43" s="3">
        <v>16000</v>
      </c>
      <c r="E43" s="5">
        <v>28.07017543859649</v>
      </c>
      <c r="F43" s="5">
        <v>9.3567251461988299</v>
      </c>
      <c r="G43" s="5">
        <v>5.6140350877192979</v>
      </c>
      <c r="H43" s="5">
        <v>3.5087719298245612</v>
      </c>
      <c r="I43" s="5">
        <v>2.5518341307814993</v>
      </c>
      <c r="J43" s="5">
        <v>2.0050125313283207</v>
      </c>
    </row>
    <row r="44" spans="1:10" x14ac:dyDescent="0.25">
      <c r="A44" t="s">
        <v>164</v>
      </c>
      <c r="D44" s="3">
        <v>18000</v>
      </c>
      <c r="E44" s="5">
        <v>31.578947368421051</v>
      </c>
      <c r="F44" s="5">
        <v>10.526315789473685</v>
      </c>
      <c r="G44" s="5">
        <v>6.3157894736842106</v>
      </c>
      <c r="H44" s="5">
        <v>3.9473684210526314</v>
      </c>
      <c r="I44" s="5">
        <v>2.8708133971291865</v>
      </c>
      <c r="J44" s="5">
        <v>2.255639097744361</v>
      </c>
    </row>
    <row r="45" spans="1:10" x14ac:dyDescent="0.25">
      <c r="A45" t="s">
        <v>156</v>
      </c>
      <c r="B45">
        <f>SUM('Pumped Hydro Storage'!B46,'Pumped Hydro Storage'!B49,'Pumped Hydro Storage'!B50,'Pumped Hydro Storage'!B53,'Pumped Hydro Storage'!B55,'Pumped Hydro Storage'!B57,'Pumped Hydro Storage'!B59,'Pumped Hydro Storage'!B60,'Pumped Hydro Storage'!B61,'Pumped Hydro Storage'!B63)</f>
        <v>6446.26</v>
      </c>
      <c r="D45" s="3">
        <v>20000</v>
      </c>
      <c r="E45" s="5">
        <v>35.087719298245617</v>
      </c>
      <c r="F45" s="5">
        <v>11.695906432748538</v>
      </c>
      <c r="G45" s="5">
        <v>7.0175438596491224</v>
      </c>
      <c r="H45" s="5">
        <v>4.3859649122807021</v>
      </c>
      <c r="I45" s="5">
        <v>3.1897926634768741</v>
      </c>
      <c r="J45" s="5">
        <v>2.5062656641604009</v>
      </c>
    </row>
    <row r="46" spans="1:10" x14ac:dyDescent="0.25">
      <c r="A46" t="s">
        <v>157</v>
      </c>
      <c r="B46">
        <v>0</v>
      </c>
    </row>
    <row r="47" spans="1:10" x14ac:dyDescent="0.25">
      <c r="A47" t="s">
        <v>158</v>
      </c>
      <c r="B47">
        <f>'Pumped Hydro Storage'!B64</f>
        <v>312</v>
      </c>
    </row>
    <row r="48" spans="1:10" x14ac:dyDescent="0.25">
      <c r="A48" t="s">
        <v>159</v>
      </c>
      <c r="B48">
        <f>'Pumped Hydro Storage'!AG65</f>
        <v>2232</v>
      </c>
    </row>
    <row r="49" spans="1:2" x14ac:dyDescent="0.25">
      <c r="A49" t="s">
        <v>160</v>
      </c>
      <c r="B49">
        <v>0</v>
      </c>
    </row>
    <row r="51" spans="1:2" x14ac:dyDescent="0.25">
      <c r="A51" t="s">
        <v>177</v>
      </c>
    </row>
    <row r="52" spans="1:2" x14ac:dyDescent="0.25">
      <c r="A52" t="s">
        <v>87</v>
      </c>
      <c r="B52" s="79">
        <v>1659.2000000000003</v>
      </c>
    </row>
    <row r="53" spans="1:2" x14ac:dyDescent="0.25">
      <c r="A53" t="s">
        <v>122</v>
      </c>
      <c r="B53" s="79">
        <v>1604.1999999999998</v>
      </c>
    </row>
    <row r="54" spans="1:2" x14ac:dyDescent="0.25">
      <c r="A54" t="s">
        <v>172</v>
      </c>
      <c r="B54" s="79">
        <v>15394</v>
      </c>
    </row>
    <row r="55" spans="1:2" x14ac:dyDescent="0.25">
      <c r="A55" t="s">
        <v>126</v>
      </c>
      <c r="B55" s="79">
        <v>4251</v>
      </c>
    </row>
    <row r="56" spans="1:2" x14ac:dyDescent="0.25">
      <c r="A56" t="s">
        <v>103</v>
      </c>
      <c r="B56" s="79">
        <v>5911.4668965517239</v>
      </c>
    </row>
    <row r="57" spans="1:2" x14ac:dyDescent="0.25">
      <c r="A57" t="s">
        <v>173</v>
      </c>
      <c r="B57" s="79">
        <v>31648</v>
      </c>
    </row>
    <row r="58" spans="1:2" x14ac:dyDescent="0.25">
      <c r="A58" t="s">
        <v>176</v>
      </c>
      <c r="B58" s="79">
        <v>12729</v>
      </c>
    </row>
    <row r="59" spans="1:2" x14ac:dyDescent="0.25">
      <c r="A59" t="s">
        <v>96</v>
      </c>
      <c r="B59" s="79">
        <v>8267.4599999999991</v>
      </c>
    </row>
    <row r="60" spans="1:2" x14ac:dyDescent="0.25">
      <c r="A60" t="s">
        <v>174</v>
      </c>
      <c r="B60" s="79">
        <v>48141.25</v>
      </c>
    </row>
    <row r="61" spans="1:2" x14ac:dyDescent="0.25">
      <c r="A61" t="s">
        <v>175</v>
      </c>
      <c r="B61" s="79">
        <v>21183</v>
      </c>
    </row>
    <row r="62" spans="1:2" x14ac:dyDescent="0.25">
      <c r="A62" t="s">
        <v>99</v>
      </c>
      <c r="B62" s="79">
        <v>10623.453103448277</v>
      </c>
    </row>
    <row r="63" spans="1:2" x14ac:dyDescent="0.25">
      <c r="A63" t="s">
        <v>178</v>
      </c>
      <c r="B63" s="79">
        <v>60029.5</v>
      </c>
    </row>
    <row r="64" spans="1:2" x14ac:dyDescent="0.25">
      <c r="A64" t="s">
        <v>181</v>
      </c>
      <c r="B64" s="79">
        <v>27540</v>
      </c>
    </row>
    <row r="65" spans="1:2" x14ac:dyDescent="0.25">
      <c r="A65" t="s">
        <v>184</v>
      </c>
      <c r="B65" s="79">
        <v>13569.273793103448</v>
      </c>
    </row>
    <row r="66" spans="1:2" x14ac:dyDescent="0.25">
      <c r="A66" t="s">
        <v>179</v>
      </c>
      <c r="B66" s="79">
        <v>71917.75</v>
      </c>
    </row>
    <row r="67" spans="1:2" x14ac:dyDescent="0.25">
      <c r="A67" t="s">
        <v>182</v>
      </c>
      <c r="B67" s="79">
        <v>33897</v>
      </c>
    </row>
    <row r="68" spans="1:2" x14ac:dyDescent="0.25">
      <c r="A68" t="s">
        <v>185</v>
      </c>
      <c r="B68" s="81">
        <v>17798.673793103451</v>
      </c>
    </row>
    <row r="69" spans="1:2" x14ac:dyDescent="0.25">
      <c r="A69" t="s">
        <v>180</v>
      </c>
      <c r="B69" s="79">
        <v>84886.75</v>
      </c>
    </row>
    <row r="70" spans="1:2" x14ac:dyDescent="0.25">
      <c r="A70" t="s">
        <v>183</v>
      </c>
      <c r="B70" s="79">
        <v>40254</v>
      </c>
    </row>
    <row r="71" spans="1:2" x14ac:dyDescent="0.25">
      <c r="A71" t="s">
        <v>186</v>
      </c>
      <c r="B71" s="79">
        <v>20690.873793103448</v>
      </c>
    </row>
    <row r="74" spans="1:2" x14ac:dyDescent="0.25">
      <c r="A74" t="s">
        <v>62</v>
      </c>
    </row>
    <row r="75" spans="1:2" x14ac:dyDescent="0.25">
      <c r="A75" t="s">
        <v>135</v>
      </c>
      <c r="B75" s="5">
        <v>7.771428571428574</v>
      </c>
    </row>
    <row r="76" spans="1:2" x14ac:dyDescent="0.25">
      <c r="A76" t="s">
        <v>140</v>
      </c>
      <c r="B76" s="5">
        <v>2.1561827956989243</v>
      </c>
    </row>
    <row r="77" spans="1:2" x14ac:dyDescent="0.25">
      <c r="A77" t="s">
        <v>187</v>
      </c>
      <c r="B77" s="5">
        <v>76.97</v>
      </c>
    </row>
    <row r="78" spans="1:2" x14ac:dyDescent="0.25">
      <c r="A78" t="s">
        <v>188</v>
      </c>
      <c r="B78" s="5">
        <v>21.254999999999999</v>
      </c>
    </row>
    <row r="79" spans="1:2" x14ac:dyDescent="0.25">
      <c r="A79" t="s">
        <v>189</v>
      </c>
      <c r="B79" s="5">
        <v>15.772385964912282</v>
      </c>
    </row>
    <row r="80" spans="1:2" x14ac:dyDescent="0.25">
      <c r="A80" t="s">
        <v>190</v>
      </c>
      <c r="B80" s="5">
        <v>52.74666666666667</v>
      </c>
    </row>
    <row r="81" spans="1:2" x14ac:dyDescent="0.25">
      <c r="A81" t="s">
        <v>191</v>
      </c>
      <c r="B81" s="5">
        <v>21.215</v>
      </c>
    </row>
    <row r="82" spans="1:2" x14ac:dyDescent="0.25">
      <c r="A82" t="s">
        <v>194</v>
      </c>
      <c r="B82" s="5">
        <v>7.4042456140350881</v>
      </c>
    </row>
    <row r="83" spans="1:2" x14ac:dyDescent="0.25">
      <c r="A83" t="s">
        <v>195</v>
      </c>
      <c r="B83" s="5">
        <v>48.141249999999999</v>
      </c>
    </row>
    <row r="84" spans="1:2" x14ac:dyDescent="0.25">
      <c r="A84" t="s">
        <v>192</v>
      </c>
      <c r="B84" s="5">
        <v>21.183</v>
      </c>
    </row>
    <row r="85" spans="1:2" x14ac:dyDescent="0.25">
      <c r="A85" t="s">
        <v>193</v>
      </c>
      <c r="B85" s="5">
        <v>2.5928413274565725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Baseline Lead-Acid Battery</vt:lpstr>
      <vt:lpstr>Lithium-Ion Battery Storage</vt:lpstr>
      <vt:lpstr>Pumped Hydro Storage</vt:lpstr>
      <vt:lpstr>Graphs</vt:lpstr>
      <vt:lpstr>Graph Data &amp; Sensitivy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Wikman</dc:creator>
  <cp:lastModifiedBy>Jason Wikman</cp:lastModifiedBy>
  <cp:lastPrinted>2019-04-08T05:30:54Z</cp:lastPrinted>
  <dcterms:created xsi:type="dcterms:W3CDTF">2018-10-31T14:12:07Z</dcterms:created>
  <dcterms:modified xsi:type="dcterms:W3CDTF">2020-05-22T04:47:26Z</dcterms:modified>
</cp:coreProperties>
</file>