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arango/Documents/Harvard University/Thesis/00_Writing Drafts/Latest Update/"/>
    </mc:Choice>
  </mc:AlternateContent>
  <xr:revisionPtr revIDLastSave="0" documentId="8_{216735E2-E542-5145-83A0-7440D17AE4A3}" xr6:coauthVersionLast="40" xr6:coauthVersionMax="40" xr10:uidLastSave="{00000000-0000-0000-0000-000000000000}"/>
  <bookViews>
    <workbookView xWindow="0" yWindow="460" windowWidth="28040" windowHeight="15700" xr2:uid="{31CA27C2-1424-2A41-BB03-852018BC3328}"/>
  </bookViews>
  <sheets>
    <sheet name="NPV" sheetId="3" r:id="rId1"/>
    <sheet name="GEI" sheetId="1" r:id="rId2"/>
    <sheet name="Timetable Legislation" sheetId="2" r:id="rId3"/>
    <sheet name="High C Seq Scenario" sheetId="5" r:id="rId4"/>
    <sheet name="Low C Seq Scenario" sheetId="6" r:id="rId5"/>
    <sheet name="NPV Calculation Tables" sheetId="4" r:id="rId6"/>
  </sheets>
  <definedNames>
    <definedName name="initial">NPV!$O$4</definedName>
    <definedName name="initial2">NPV!$O$28</definedName>
    <definedName name="initial3">NPV!$O$52</definedName>
    <definedName name="total2012">GEI!$C$10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3" i="3" l="1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5" i="3"/>
  <c r="O32" i="3"/>
  <c r="O31" i="3"/>
  <c r="O30" i="3"/>
  <c r="O29" i="3"/>
  <c r="M48" i="3"/>
  <c r="M49" i="3" s="1"/>
  <c r="M27" i="3"/>
  <c r="C11" i="4"/>
  <c r="C2" i="4"/>
  <c r="A3" i="4" s="1"/>
  <c r="D12" i="3"/>
  <c r="D66" i="3"/>
  <c r="O52" i="3" s="1"/>
  <c r="B66" i="3"/>
  <c r="D57" i="3"/>
  <c r="B57" i="3"/>
  <c r="D48" i="3"/>
  <c r="B48" i="3"/>
  <c r="D39" i="3"/>
  <c r="B39" i="3"/>
  <c r="D30" i="3"/>
  <c r="D21" i="3"/>
  <c r="B30" i="3"/>
  <c r="B21" i="3"/>
  <c r="D3" i="3"/>
  <c r="B12" i="3"/>
  <c r="B3" i="3"/>
  <c r="O61" i="3" l="1"/>
  <c r="O57" i="3"/>
  <c r="O54" i="3"/>
  <c r="O60" i="3"/>
  <c r="O53" i="3"/>
  <c r="O59" i="3"/>
  <c r="O56" i="3"/>
  <c r="O58" i="3"/>
  <c r="O55" i="3"/>
  <c r="O72" i="3"/>
  <c r="O73" i="3" s="1"/>
  <c r="O48" i="3"/>
  <c r="O49" i="3" s="1"/>
  <c r="O8" i="3"/>
  <c r="O7" i="3"/>
  <c r="O6" i="3"/>
  <c r="C3" i="4"/>
  <c r="A4" i="4"/>
  <c r="A17" i="4"/>
  <c r="B10" i="1"/>
  <c r="C10" i="1"/>
  <c r="D9" i="1" s="1"/>
  <c r="D2" i="1" l="1"/>
  <c r="D3" i="1"/>
  <c r="D6" i="1"/>
  <c r="D7" i="1"/>
  <c r="O24" i="3"/>
  <c r="O25" i="3" s="1"/>
  <c r="C12" i="4"/>
  <c r="A18" i="4"/>
  <c r="C4" i="4"/>
  <c r="A5" i="4"/>
  <c r="D8" i="1"/>
  <c r="D4" i="1"/>
  <c r="D10" i="1" s="1"/>
  <c r="D5" i="1"/>
  <c r="C5" i="4" l="1"/>
  <c r="A6" i="4"/>
  <c r="C6" i="4" s="1"/>
  <c r="A19" i="4"/>
  <c r="C13" i="4"/>
  <c r="C7" i="4" l="1"/>
  <c r="C8" i="4" s="1"/>
  <c r="A20" i="4"/>
  <c r="C14" i="4"/>
  <c r="C15" i="4" l="1"/>
  <c r="A21" i="4"/>
  <c r="C16" i="4" l="1"/>
  <c r="A22" i="4"/>
  <c r="C17" i="4" l="1"/>
  <c r="C18" i="4" l="1"/>
  <c r="M3" i="3"/>
  <c r="C19" i="4" l="1"/>
  <c r="C20" i="4"/>
  <c r="C21" i="4" l="1"/>
  <c r="C22" i="4" s="1"/>
  <c r="M24" i="3" l="1"/>
  <c r="M25" i="3" s="1"/>
  <c r="M81" i="3" s="1"/>
  <c r="M57" i="3" s="1"/>
</calcChain>
</file>

<file path=xl/sharedStrings.xml><?xml version="1.0" encoding="utf-8"?>
<sst xmlns="http://schemas.openxmlformats.org/spreadsheetml/2006/main" count="86" uniqueCount="39">
  <si>
    <t>Transportation</t>
  </si>
  <si>
    <t>Agriculture</t>
  </si>
  <si>
    <t>Deforestation</t>
  </si>
  <si>
    <t>Manufacturing</t>
  </si>
  <si>
    <t>Energy</t>
  </si>
  <si>
    <t>Livestock</t>
  </si>
  <si>
    <t>Landfill - Waste</t>
  </si>
  <si>
    <t xml:space="preserve">Residential </t>
  </si>
  <si>
    <t>Description</t>
  </si>
  <si>
    <t>Date</t>
  </si>
  <si>
    <t>Decree 298 of 2016 - National Climate Change System</t>
  </si>
  <si>
    <t>Law 1844 of 2017 - Ratification Paris Agreement</t>
  </si>
  <si>
    <t>Decree 926 of 2017 - Regulated business enabled to buy offsets</t>
  </si>
  <si>
    <t>Timeline</t>
  </si>
  <si>
    <t>Law 1819 of 2016 - C Fuel Tax and VCM</t>
  </si>
  <si>
    <t>Cali Declaration - COL, PER, MX, CH ratified Paris Agreement</t>
  </si>
  <si>
    <t>Climate Change Bill - Proposal Law 73 of 2017</t>
  </si>
  <si>
    <t>Discount Rates (%)</t>
  </si>
  <si>
    <t>Duration of Project (years)</t>
  </si>
  <si>
    <t>C Price (COP$/t C)</t>
  </si>
  <si>
    <t>Soil C Price                    (COP$/t CO2e ha yr)</t>
  </si>
  <si>
    <t>NPV</t>
  </si>
  <si>
    <t>Discount Rate</t>
  </si>
  <si>
    <t>Source: IDEAM (2017)</t>
  </si>
  <si>
    <t>Int. Rate</t>
  </si>
  <si>
    <t>Initial Investment</t>
  </si>
  <si>
    <t>Year</t>
  </si>
  <si>
    <t>Cash Inflows</t>
  </si>
  <si>
    <t>Shaded indicates the discount rate and the duration of the project used in the calculation of the net present value (NPV)</t>
  </si>
  <si>
    <t>For instance: the first row is the NPV for an AF project with a sequestration rate of 1.35 Mg C ha-1 yr-1, with a set C price of COP$10,000 with a discount rate of 2% for a 5-year long project.</t>
  </si>
  <si>
    <t>C Seq Rate             (Mg C ha-1 yr-1)</t>
  </si>
  <si>
    <t>CO2e Seq                  (Mg CO2e ha-1 yr-1)</t>
  </si>
  <si>
    <t>1.35 Mg C ha-1yr-1</t>
  </si>
  <si>
    <t>20 years</t>
  </si>
  <si>
    <t>Price of C</t>
  </si>
  <si>
    <t>2% Interest Rate</t>
  </si>
  <si>
    <t>4% Interest Rate</t>
  </si>
  <si>
    <t>6% Interest Rate</t>
  </si>
  <si>
    <t>0.13 Mg C ha-1yr-1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</si>
</sst>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&quot;$&quot;#,##0"/>
    <numFmt numFmtId="167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rgb="FF5CB85C"/>
      <name val="Helvetica Neue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rgb="FF92D05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lightGray">
        <bgColor auto="1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9" fontId="2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2" applyFont="1"/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0" xfId="0" applyAlignment="1">
      <alignment wrapText="1"/>
    </xf>
    <xf numFmtId="8" fontId="6" fillId="0" borderId="0" xfId="0" applyNumberFormat="1" applyFont="1" applyAlignment="1">
      <alignment wrapText="1"/>
    </xf>
    <xf numFmtId="166" fontId="0" fillId="0" borderId="0" xfId="0" applyNumberFormat="1"/>
    <xf numFmtId="9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44" fontId="9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44" fontId="9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8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9" fontId="2" fillId="0" borderId="2" xfId="0" applyNumberFormat="1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right"/>
    </xf>
    <xf numFmtId="9" fontId="2" fillId="0" borderId="19" xfId="0" applyNumberFormat="1" applyFont="1" applyBorder="1"/>
    <xf numFmtId="0" fontId="0" fillId="0" borderId="20" xfId="0" applyBorder="1"/>
    <xf numFmtId="0" fontId="0" fillId="0" borderId="20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Font="1" applyAlignment="1">
      <alignment wrapText="1"/>
    </xf>
    <xf numFmtId="44" fontId="7" fillId="0" borderId="9" xfId="2" applyFont="1" applyFill="1" applyBorder="1"/>
    <xf numFmtId="44" fontId="3" fillId="0" borderId="0" xfId="2" applyFont="1" applyFill="1"/>
    <xf numFmtId="0" fontId="7" fillId="0" borderId="27" xfId="0" applyFont="1" applyBorder="1" applyAlignment="1"/>
    <xf numFmtId="0" fontId="7" fillId="0" borderId="28" xfId="0" applyFont="1" applyBorder="1" applyAlignment="1"/>
    <xf numFmtId="44" fontId="7" fillId="0" borderId="32" xfId="2" applyFont="1" applyFill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4" fontId="7" fillId="0" borderId="30" xfId="2" applyFont="1" applyFill="1" applyBorder="1" applyAlignment="1">
      <alignment horizontal="center"/>
    </xf>
    <xf numFmtId="0" fontId="10" fillId="2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44" fontId="7" fillId="0" borderId="11" xfId="2" applyFont="1" applyFill="1" applyBorder="1"/>
    <xf numFmtId="44" fontId="7" fillId="0" borderId="11" xfId="2" applyFont="1" applyFill="1" applyBorder="1" applyAlignment="1">
      <alignment wrapText="1"/>
    </xf>
    <xf numFmtId="44" fontId="7" fillId="0" borderId="31" xfId="2" applyFont="1" applyFill="1" applyBorder="1" applyAlignment="1">
      <alignment wrapText="1"/>
    </xf>
    <xf numFmtId="44" fontId="7" fillId="0" borderId="14" xfId="2" applyFont="1" applyFill="1" applyBorder="1"/>
    <xf numFmtId="44" fontId="11" fillId="0" borderId="31" xfId="2" applyFont="1" applyFill="1" applyBorder="1" applyAlignment="1">
      <alignment wrapText="1"/>
    </xf>
    <xf numFmtId="0" fontId="7" fillId="0" borderId="13" xfId="0" applyFont="1" applyBorder="1"/>
    <xf numFmtId="0" fontId="10" fillId="2" borderId="13" xfId="0" applyFont="1" applyFill="1" applyBorder="1"/>
    <xf numFmtId="0" fontId="10" fillId="2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0" fillId="0" borderId="0" xfId="0" applyFill="1"/>
    <xf numFmtId="44" fontId="7" fillId="0" borderId="1" xfId="2" applyFont="1" applyFill="1" applyBorder="1"/>
    <xf numFmtId="9" fontId="0" fillId="0" borderId="1" xfId="1" applyFont="1" applyBorder="1" applyAlignment="1">
      <alignment horizontal="center"/>
    </xf>
    <xf numFmtId="167" fontId="7" fillId="0" borderId="1" xfId="2" applyNumberFormat="1" applyFont="1" applyFill="1" applyBorder="1" applyAlignment="1">
      <alignment horizontal="center"/>
    </xf>
    <xf numFmtId="167" fontId="7" fillId="0" borderId="1" xfId="2" applyNumberFormat="1" applyFont="1" applyFill="1" applyBorder="1" applyAlignment="1">
      <alignment horizontal="center" wrapText="1"/>
    </xf>
    <xf numFmtId="44" fontId="11" fillId="0" borderId="1" xfId="2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44" fontId="7" fillId="0" borderId="23" xfId="2" applyFont="1" applyBorder="1" applyAlignment="1">
      <alignment horizontal="center" vertical="center"/>
    </xf>
    <xf numFmtId="44" fontId="7" fillId="0" borderId="10" xfId="2" applyFont="1" applyBorder="1" applyAlignment="1">
      <alignment horizontal="center" vertical="center"/>
    </xf>
    <xf numFmtId="44" fontId="7" fillId="0" borderId="12" xfId="2" applyFont="1" applyBorder="1" applyAlignment="1">
      <alignment horizontal="center" vertical="center"/>
    </xf>
    <xf numFmtId="44" fontId="7" fillId="0" borderId="1" xfId="2" applyFont="1" applyBorder="1" applyAlignment="1">
      <alignment horizontal="center" vertical="center"/>
    </xf>
    <xf numFmtId="44" fontId="7" fillId="0" borderId="13" xfId="2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4" fontId="7" fillId="0" borderId="33" xfId="2" applyFont="1" applyBorder="1" applyAlignment="1">
      <alignment horizontal="center" vertical="center"/>
    </xf>
    <xf numFmtId="44" fontId="7" fillId="0" borderId="16" xfId="2" applyFont="1" applyBorder="1" applyAlignment="1">
      <alignment horizontal="center" vertical="center"/>
    </xf>
    <xf numFmtId="44" fontId="7" fillId="0" borderId="17" xfId="2" applyFont="1" applyBorder="1" applyAlignment="1">
      <alignment horizontal="center" vertical="center"/>
    </xf>
    <xf numFmtId="44" fontId="7" fillId="0" borderId="18" xfId="2" applyFont="1" applyBorder="1" applyAlignment="1">
      <alignment horizontal="center" vertical="center"/>
    </xf>
    <xf numFmtId="44" fontId="7" fillId="0" borderId="8" xfId="2" applyFont="1" applyBorder="1" applyAlignment="1">
      <alignment horizontal="center" vertical="center"/>
    </xf>
    <xf numFmtId="44" fontId="7" fillId="0" borderId="7" xfId="2" applyFont="1" applyBorder="1" applyAlignment="1">
      <alignment horizontal="center" vertical="center"/>
    </xf>
    <xf numFmtId="44" fontId="7" fillId="0" borderId="3" xfId="2" applyFont="1" applyBorder="1" applyAlignment="1">
      <alignment horizontal="center" vertical="center"/>
    </xf>
    <xf numFmtId="44" fontId="7" fillId="0" borderId="4" xfId="2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1" xfId="2" applyFont="1" applyBorder="1" applyAlignment="1">
      <alignment horizontal="center" vertical="center"/>
    </xf>
    <xf numFmtId="44" fontId="7" fillId="0" borderId="22" xfId="2" applyFont="1" applyBorder="1" applyAlignment="1">
      <alignment horizontal="center" vertical="center"/>
    </xf>
    <xf numFmtId="44" fontId="7" fillId="0" borderId="15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D6DFF"/>
      <color rgb="FF7DF052"/>
      <color rgb="FF5F4EEA"/>
      <color rgb="FFD1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7394048"/>
        <c:axId val="1977395728"/>
        <c:axId val="0"/>
      </c:bar3DChart>
      <c:catAx>
        <c:axId val="1977394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395728"/>
        <c:crosses val="autoZero"/>
        <c:auto val="1"/>
        <c:lblAlgn val="ctr"/>
        <c:lblOffset val="100"/>
        <c:noMultiLvlLbl val="0"/>
      </c:catAx>
      <c:valAx>
        <c:axId val="197739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39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5F4-D84C-8627-41A235CD73E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5F4-D84C-8627-41A235CD73E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rgbClr val="00B05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F4-D84C-8627-41A235CD73E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F4-D84C-8627-41A235CD73E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F4-D84C-8627-41A235CD73EE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F4-D84C-8627-41A235CD73EE}"/>
              </c:ext>
            </c:extLst>
          </c:dPt>
          <c:dPt>
            <c:idx val="6"/>
            <c:invertIfNegative val="0"/>
            <c:bubble3D val="0"/>
            <c:spPr>
              <a:solidFill>
                <a:srgbClr val="ED6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5F4-D84C-8627-41A235CD73EE}"/>
              </c:ext>
            </c:extLst>
          </c:dPt>
          <c:dPt>
            <c:idx val="7"/>
            <c:invertIfNegative val="0"/>
            <c:bubble3D val="0"/>
            <c:spPr>
              <a:solidFill>
                <a:srgbClr val="5F4EE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F4-D84C-8627-41A235CD73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GEI!$A$2:$A$9</c:f>
              <c:strCache>
                <c:ptCount val="8"/>
                <c:pt idx="0">
                  <c:v>Transportation</c:v>
                </c:pt>
                <c:pt idx="1">
                  <c:v>Agriculture</c:v>
                </c:pt>
                <c:pt idx="2">
                  <c:v>Deforestation</c:v>
                </c:pt>
                <c:pt idx="3">
                  <c:v>Livestock</c:v>
                </c:pt>
                <c:pt idx="4">
                  <c:v>Manufacturing</c:v>
                </c:pt>
                <c:pt idx="5">
                  <c:v>Energy</c:v>
                </c:pt>
                <c:pt idx="6">
                  <c:v>Landfill - Waste</c:v>
                </c:pt>
                <c:pt idx="7">
                  <c:v>Residential </c:v>
                </c:pt>
              </c:strCache>
            </c:strRef>
          </c:cat>
          <c:val>
            <c:numRef>
              <c:f>GEI!$C$2:$C$9</c:f>
              <c:numCache>
                <c:formatCode>General</c:formatCode>
                <c:ptCount val="8"/>
                <c:pt idx="0">
                  <c:v>30.4</c:v>
                </c:pt>
                <c:pt idx="1">
                  <c:v>27.9</c:v>
                </c:pt>
                <c:pt idx="2">
                  <c:v>27.3</c:v>
                </c:pt>
                <c:pt idx="3">
                  <c:v>23.8</c:v>
                </c:pt>
                <c:pt idx="4">
                  <c:v>27.4</c:v>
                </c:pt>
                <c:pt idx="5">
                  <c:v>24.5</c:v>
                </c:pt>
                <c:pt idx="6">
                  <c:v>10.9</c:v>
                </c:pt>
                <c:pt idx="7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D84C-8627-41A235CD7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897786672"/>
        <c:axId val="1897787056"/>
      </c:barChart>
      <c:catAx>
        <c:axId val="189778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787056"/>
        <c:crosses val="autoZero"/>
        <c:auto val="1"/>
        <c:lblAlgn val="ctr"/>
        <c:lblOffset val="100"/>
        <c:noMultiLvlLbl val="0"/>
      </c:catAx>
      <c:valAx>
        <c:axId val="18977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Times New Roman"/>
                  </a:rPr>
                  <a:t>Metric ton of C</a:t>
                </a:r>
              </a:p>
            </c:rich>
          </c:tx>
          <c:layout>
            <c:manualLayout>
              <c:xMode val="edge"/>
              <c:yMode val="edge"/>
              <c:x val="1.2451361867704281E-2"/>
              <c:y val="0.341712290846456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Times New Roman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7866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1138935501914"/>
          <c:y val="0.11340918509588216"/>
          <c:w val="0.74358469945355188"/>
          <c:h val="0.7299779602908488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'High C Seq Scenario'!$B$2</c:f>
              <c:strCache>
                <c:ptCount val="1"/>
                <c:pt idx="0">
                  <c:v>2% Interest Rate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('High C Seq Scenario'!$A$2,'High C Seq Scenario'!$A$6,'High C Seq Scenario'!$A$8,'High C Seq Scenario'!$A$11)</c:f>
              <c:numCache>
                <c:formatCode>_("$"* #,##0.00_);_("$"* \(#,##0.00\);_("$"*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('High C Seq Scenario'!$C$2,'High C Seq Scenario'!$C$5,'High C Seq Scenario'!$C$8,'High C Seq Scenario'!$C$11)</c:f>
              <c:numCache>
                <c:formatCode>_("$"* #,##0_);_("$"* \(#,##0\);_("$"* "-"??_);_(@_)</c:formatCode>
                <c:ptCount val="4"/>
                <c:pt idx="0">
                  <c:v>7936966.6534499945</c:v>
                </c:pt>
                <c:pt idx="1">
                  <c:v>11905449.980174989</c:v>
                </c:pt>
                <c:pt idx="2">
                  <c:v>15873933.306899989</c:v>
                </c:pt>
                <c:pt idx="3">
                  <c:v>19842416.629999999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B-1045-80EB-0A0CDB610D16}"/>
            </c:ext>
          </c:extLst>
        </c:ser>
        <c:ser>
          <c:idx val="0"/>
          <c:order val="1"/>
          <c:tx>
            <c:strRef>
              <c:f>'High C Seq Scenario'!$B$3</c:f>
              <c:strCache>
                <c:ptCount val="1"/>
                <c:pt idx="0">
                  <c:v>4% Interest Rate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944751381215429E-3"/>
                  <c:y val="2.3923444976074802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DB-1045-80EB-0A0CDB610D16}"/>
                </c:ext>
              </c:extLst>
            </c:dLbl>
            <c:dLbl>
              <c:idx val="1"/>
              <c:layout>
                <c:manualLayout>
                  <c:x val="1.2546743811719626E-2"/>
                  <c:y val="6.6224616659759632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B-1045-80EB-0A0CDB610D16}"/>
                </c:ext>
              </c:extLst>
            </c:dLbl>
            <c:dLbl>
              <c:idx val="2"/>
              <c:layout>
                <c:manualLayout>
                  <c:x val="7.734806629834173E-3"/>
                  <c:y val="2.392344497607655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DB-1045-80EB-0A0CDB610D16}"/>
                </c:ext>
              </c:extLst>
            </c:dLbl>
            <c:dLbl>
              <c:idx val="3"/>
              <c:layout>
                <c:manualLayout>
                  <c:x val="9.9447513812153075E-3"/>
                  <c:y val="2.3923444976076116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DB-1045-80EB-0A0CDB610D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('High C Seq Scenario'!$A$2,'High C Seq Scenario'!$A$6,'High C Seq Scenario'!$A$8,'High C Seq Scenario'!$A$11)</c:f>
              <c:numCache>
                <c:formatCode>_("$"* #,##0.00_);_("$"* \(#,##0.00\);_("$"*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('High C Seq Scenario'!$C$3,'High C Seq Scenario'!$C$6,'High C Seq Scenario'!$C$9,'High C Seq Scenario'!$C$12)</c:f>
              <c:numCache>
                <c:formatCode>_("$"* #,##0_);_("$"* \(#,##0\);_("$"* "-"??_);_(@_)</c:formatCode>
                <c:ptCount val="4"/>
                <c:pt idx="0">
                  <c:v>6160695.8439275119</c:v>
                </c:pt>
                <c:pt idx="1">
                  <c:v>9241043.7658912688</c:v>
                </c:pt>
                <c:pt idx="2">
                  <c:v>12321391.687855024</c:v>
                </c:pt>
                <c:pt idx="3">
                  <c:v>15401739.609818781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DB-1045-80EB-0A0CDB610D16}"/>
            </c:ext>
          </c:extLst>
        </c:ser>
        <c:ser>
          <c:idx val="1"/>
          <c:order val="2"/>
          <c:tx>
            <c:strRef>
              <c:f>'High C Seq Scenario'!$B$10</c:f>
              <c:strCache>
                <c:ptCount val="1"/>
                <c:pt idx="0">
                  <c:v>6% Interest Rate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184971098265895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B-1045-80EB-0A0CDB610D16}"/>
                </c:ext>
              </c:extLst>
            </c:dLbl>
            <c:dLbl>
              <c:idx val="1"/>
              <c:layout>
                <c:manualLayout>
                  <c:x val="1.3872832369942197E-2"/>
                  <c:y val="2.597402597402502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DB-1045-80EB-0A0CDB610D16}"/>
                </c:ext>
              </c:extLst>
            </c:dLbl>
            <c:dLbl>
              <c:idx val="2"/>
              <c:layout>
                <c:manualLayout>
                  <c:x val="1.5827293687736464E-2"/>
                  <c:y val="2.597483328937949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DB-1045-80EB-0A0CDB610D16}"/>
                </c:ext>
              </c:extLst>
            </c:dLbl>
            <c:dLbl>
              <c:idx val="3"/>
              <c:layout>
                <c:manualLayout>
                  <c:x val="1.6184971098265725E-2"/>
                  <c:y val="2.5974025974025497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B-1045-80EB-0A0CDB610D16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('High C Seq Scenario'!$A$2,'High C Seq Scenario'!$A$6,'High C Seq Scenario'!$A$8,'High C Seq Scenario'!$A$11)</c:f>
              <c:numCache>
                <c:formatCode>_("$"* #,##0.00_);_("$"* \(#,##0.00\);_("$"*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('High C Seq Scenario'!$C$4,'High C Seq Scenario'!$C$7,'High C Seq Scenario'!$C$10,'High C Seq Scenario'!$C$13)</c:f>
              <c:numCache>
                <c:formatCode>_("$"* #,##0_);_("$"* \(#,##0\);_("$"* "-"??_);_(@_)</c:formatCode>
                <c:ptCount val="4"/>
                <c:pt idx="0">
                  <c:v>4847989.8562887302</c:v>
                </c:pt>
                <c:pt idx="1">
                  <c:v>7271984.7844330976</c:v>
                </c:pt>
                <c:pt idx="2">
                  <c:v>9695979.7125774603</c:v>
                </c:pt>
                <c:pt idx="3">
                  <c:v>12119974.640721826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DB-1045-80EB-0A0CDB610D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75950096"/>
        <c:axId val="1975028496"/>
      </c:barChart>
      <c:catAx>
        <c:axId val="197595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imes New Roman"/>
                    <a:ea typeface="+mn-ea"/>
                    <a:cs typeface="+mn-cs"/>
                  </a:defRPr>
                </a:pPr>
                <a:r>
                  <a:rPr lang="en-US" sz="1600" b="0">
                    <a:solidFill>
                      <a:schemeClr val="tx1"/>
                    </a:solidFill>
                    <a:latin typeface="Times New Roman"/>
                  </a:rPr>
                  <a:t>Price</a:t>
                </a:r>
                <a:r>
                  <a:rPr lang="en-US" sz="1600" b="0" baseline="0">
                    <a:solidFill>
                      <a:schemeClr val="tx1"/>
                    </a:solidFill>
                    <a:latin typeface="Times New Roman"/>
                  </a:rPr>
                  <a:t> of C per ton in Colombian Pesos</a:t>
                </a:r>
                <a:endParaRPr lang="en-US" sz="1600" b="0">
                  <a:solidFill>
                    <a:schemeClr val="tx1"/>
                  </a:solidFill>
                  <a:latin typeface="Times New Roman"/>
                </a:endParaRPr>
              </a:p>
            </c:rich>
          </c:tx>
          <c:layout>
            <c:manualLayout>
              <c:xMode val="edge"/>
              <c:yMode val="edge"/>
              <c:x val="0.39908139383129593"/>
              <c:y val="0.918083487171759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028496"/>
        <c:crosses val="autoZero"/>
        <c:auto val="1"/>
        <c:lblAlgn val="ctr"/>
        <c:lblOffset val="100"/>
        <c:noMultiLvlLbl val="0"/>
      </c:catAx>
      <c:valAx>
        <c:axId val="1975028496"/>
        <c:scaling>
          <c:orientation val="minMax"/>
          <c:max val="20000000"/>
          <c:min val="40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>
                    <a:solidFill>
                      <a:schemeClr val="tx1"/>
                    </a:solidFill>
                  </a:rPr>
                  <a:t>Net Present Value ($COP)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&quot;$&quot;* #,##0_);_(&quot;$&quot;* \(#,##0\);_(&quot;$&quot;* &quot;-&quot;??_);_(@_)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95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1544786183495"/>
          <c:y val="0.33404004822363709"/>
          <c:w val="0.11548083699482316"/>
          <c:h val="0.29842708058621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5403158404082"/>
          <c:y val="5.5212521039292695E-2"/>
          <c:w val="0.69634214577926368"/>
          <c:h val="0.8226821954381009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'High C Seq Scenario'!$B$2</c:f>
              <c:strCache>
                <c:ptCount val="1"/>
                <c:pt idx="0">
                  <c:v>2% Interest Rate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('Low C Seq Scenario'!$A$2,'Low C Seq Scenario'!$A$5,'Low C Seq Scenario'!$A$8,'Low C Seq Scenario'!$A$11)</c:f>
              <c:numCache>
                <c:formatCode>_("$"* #,##0.00_);_("$"* \(#,##0.00\);_("$"*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('Low C Seq Scenario'!$C$2,'Low C Seq Scenario'!$C$5,'Low C Seq Scenario'!$C$8,'Low C Seq Scenario'!$C$11)</c:f>
              <c:numCache>
                <c:formatCode>_("$"* #,##0.00_);_("$"* \(#,##0.00\);_("$"* "-"??_);_(@_)</c:formatCode>
                <c:ptCount val="4"/>
                <c:pt idx="0">
                  <c:v>789415.28970248229</c:v>
                </c:pt>
                <c:pt idx="1">
                  <c:v>1184122.9345537233</c:v>
                </c:pt>
                <c:pt idx="2">
                  <c:v>1578830.5794049646</c:v>
                </c:pt>
                <c:pt idx="3">
                  <c:v>1973538.2242562056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4-904A-9CD5-58DF5E82BB5A}"/>
            </c:ext>
          </c:extLst>
        </c:ser>
        <c:ser>
          <c:idx val="0"/>
          <c:order val="1"/>
          <c:tx>
            <c:strRef>
              <c:f>'High C Seq Scenario'!$B$3</c:f>
              <c:strCache>
                <c:ptCount val="1"/>
                <c:pt idx="0">
                  <c:v>4% Interest Rate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82122905027933E-3"/>
                  <c:y val="2.4570024570024569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14-904A-9CD5-58DF5E82BB5A}"/>
                </c:ext>
              </c:extLst>
            </c:dLbl>
            <c:dLbl>
              <c:idx val="1"/>
              <c:layout>
                <c:manualLayout>
                  <c:x val="1.267021510579334E-2"/>
                  <c:y val="9.0794946700458509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14-904A-9CD5-58DF5E82BB5A}"/>
                </c:ext>
              </c:extLst>
            </c:dLbl>
            <c:dLbl>
              <c:idx val="2"/>
              <c:layout>
                <c:manualLayout>
                  <c:x val="1.0055865921787709E-2"/>
                  <c:y val="2.4570024570024569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14-904A-9CD5-58DF5E82BB5A}"/>
                </c:ext>
              </c:extLst>
            </c:dLbl>
            <c:dLbl>
              <c:idx val="3"/>
              <c:layout>
                <c:manualLayout>
                  <c:x val="1.0055865921787791E-2"/>
                  <c:y val="2.4570024570024569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14-904A-9CD5-58DF5E82B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('Low C Seq Scenario'!$A$2,'Low C Seq Scenario'!$A$5,'Low C Seq Scenario'!$A$8,'Low C Seq Scenario'!$A$11)</c:f>
              <c:numCache>
                <c:formatCode>_("$"* #,##0.00_);_("$"* \(#,##0.00\);_("$"*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('Low C Seq Scenario'!$C$3,'Low C Seq Scenario'!$C$6,'Low C Seq Scenario'!$C$9,'Low C Seq Scenario'!$C$12)</c:f>
              <c:numCache>
                <c:formatCode>_("$"* #,##0.00_);_("$"* \(#,##0.00\);_("$"* "-"??_);_(@_)</c:formatCode>
                <c:ptCount val="4"/>
                <c:pt idx="0">
                  <c:v>612746.36857507075</c:v>
                </c:pt>
                <c:pt idx="1">
                  <c:v>919119.55286260624</c:v>
                </c:pt>
                <c:pt idx="2">
                  <c:v>1225492.7371501415</c:v>
                </c:pt>
                <c:pt idx="3">
                  <c:v>1531865.9214376772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4-904A-9CD5-58DF5E82BB5A}"/>
            </c:ext>
          </c:extLst>
        </c:ser>
        <c:ser>
          <c:idx val="1"/>
          <c:order val="2"/>
          <c:tx>
            <c:strRef>
              <c:f>'High C Seq Scenario'!$B$10</c:f>
              <c:strCache>
                <c:ptCount val="1"/>
                <c:pt idx="0">
                  <c:v>6% Interest Rate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865921787709091E-3"/>
                  <c:y val="2.4570024570023667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14-904A-9CD5-58DF5E82BB5A}"/>
                </c:ext>
              </c:extLst>
            </c:dLbl>
            <c:dLbl>
              <c:idx val="1"/>
              <c:layout>
                <c:manualLayout>
                  <c:x val="5.5865921787709499E-3"/>
                  <c:y val="2.4570024570025471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14-904A-9CD5-58DF5E82BB5A}"/>
                </c:ext>
              </c:extLst>
            </c:dLbl>
            <c:dLbl>
              <c:idx val="2"/>
              <c:layout>
                <c:manualLayout>
                  <c:x val="8.9385474860335188E-3"/>
                  <c:y val="2.4570024570024569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14-904A-9CD5-58DF5E82BB5A}"/>
                </c:ext>
              </c:extLst>
            </c:dLbl>
            <c:dLbl>
              <c:idx val="3"/>
              <c:layout>
                <c:manualLayout>
                  <c:x val="1.2290502793296089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14-904A-9CD5-58DF5E82BB5A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('Low C Seq Scenario'!$A$2,'Low C Seq Scenario'!$A$5,'Low C Seq Scenario'!$A$8,'Low C Seq Scenario'!$A$11)</c:f>
              <c:numCache>
                <c:formatCode>_("$"* #,##0.00_);_("$"* \(#,##0.00\);_("$"* "-"??_);_(@_)</c:formatCode>
                <c:ptCount val="4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25000</c:v>
                </c:pt>
              </c:numCache>
            </c:numRef>
          </c:cat>
          <c:val>
            <c:numRef>
              <c:f>('Low C Seq Scenario'!$C$4,'Low C Seq Scenario'!$C$7,'Low C Seq Scenario'!$C$10,'Low C Seq Scenario'!$C$13)</c:f>
              <c:numCache>
                <c:formatCode>_("$"* #,##0.00_);_("$"* \(#,##0.00\);_("$"* "-"??_);_(@_)</c:formatCode>
                <c:ptCount val="4"/>
                <c:pt idx="0">
                  <c:v>482183.87250163552</c:v>
                </c:pt>
                <c:pt idx="1">
                  <c:v>723275.80875245342</c:v>
                </c:pt>
                <c:pt idx="2">
                  <c:v>964367.74500327103</c:v>
                </c:pt>
                <c:pt idx="3">
                  <c:v>1205459.6812540893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4-904A-9CD5-58DF5E82BB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75950096"/>
        <c:axId val="1975028496"/>
      </c:barChart>
      <c:catAx>
        <c:axId val="197595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solidFill>
                      <a:schemeClr val="tx1"/>
                    </a:solidFill>
                    <a:effectLst/>
                  </a:rPr>
                  <a:t>Price of C per ton in Colombian Pesos</a:t>
                </a:r>
                <a:endParaRPr lang="en-US" sz="1600">
                  <a:solidFill>
                    <a:schemeClr val="tx1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028496"/>
        <c:crosses val="autoZero"/>
        <c:auto val="1"/>
        <c:lblAlgn val="ctr"/>
        <c:lblOffset val="100"/>
        <c:noMultiLvlLbl val="0"/>
      </c:catAx>
      <c:valAx>
        <c:axId val="1975028496"/>
        <c:scaling>
          <c:orientation val="minMax"/>
          <c:max val="2100000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500" b="0" i="0" baseline="0">
                    <a:solidFill>
                      <a:schemeClr val="tx1"/>
                    </a:solidFill>
                    <a:effectLst/>
                  </a:rPr>
                  <a:t>Net Present Value ($COP)</a:t>
                </a:r>
                <a:endParaRPr lang="en-US" sz="1500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4086130295165622E-2"/>
              <c:y val="0.26691597825456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95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454269</xdr:colOff>
      <xdr:row>76</xdr:row>
      <xdr:rowOff>108438</xdr:rowOff>
    </xdr:from>
    <xdr:to>
      <xdr:col>3</xdr:col>
      <xdr:colOff>1235807</xdr:colOff>
      <xdr:row>89</xdr:row>
      <xdr:rowOff>184638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242D485-F9C2-014C-B13F-81258E8E4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0</xdr:row>
      <xdr:rowOff>0</xdr:rowOff>
    </xdr:from>
    <xdr:to>
      <xdr:col>13</xdr:col>
      <xdr:colOff>819150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BF604E-6655-5E47-9902-C3BF02D8B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0</xdr:row>
      <xdr:rowOff>177800</xdr:rowOff>
    </xdr:from>
    <xdr:to>
      <xdr:col>17</xdr:col>
      <xdr:colOff>419100</xdr:colOff>
      <xdr:row>27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35AF21-0B3D-E84F-9EDA-C44F55AE9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38100</xdr:rowOff>
    </xdr:from>
    <xdr:to>
      <xdr:col>18</xdr:col>
      <xdr:colOff>0</xdr:colOff>
      <xdr:row>27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0DA689-B5AA-EC40-A408-7D0AF44E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152400</xdr:rowOff>
    </xdr:from>
    <xdr:to>
      <xdr:col>12</xdr:col>
      <xdr:colOff>5244</xdr:colOff>
      <xdr:row>6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41E84C-825B-FB49-9313-A818DD70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965200"/>
          <a:ext cx="578374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8468</xdr:colOff>
      <xdr:row>9</xdr:row>
      <xdr:rowOff>71964</xdr:rowOff>
    </xdr:from>
    <xdr:to>
      <xdr:col>12</xdr:col>
      <xdr:colOff>65454</xdr:colOff>
      <xdr:row>12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215490-B85A-3444-A12F-2B50545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68" y="2142064"/>
          <a:ext cx="5835486" cy="639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77FD-FD75-AE43-8073-9893BC5C966D}">
  <dimension ref="A1:W81"/>
  <sheetViews>
    <sheetView tabSelected="1" topLeftCell="A8" zoomScale="130" zoomScaleNormal="130" workbookViewId="0">
      <selection activeCell="K74" activeCellId="11" sqref="K14 K17 K20 K32 K35 K38 K50 K53 K56 K68 K71 K74"/>
    </sheetView>
  </sheetViews>
  <sheetFormatPr baseColWidth="10" defaultRowHeight="16" x14ac:dyDescent="0.2"/>
  <cols>
    <col min="1" max="1" width="16.33203125" customWidth="1"/>
    <col min="2" max="2" width="17.5" customWidth="1"/>
    <col min="3" max="3" width="15.83203125" customWidth="1"/>
    <col min="4" max="4" width="16.83203125" customWidth="1"/>
    <col min="5" max="5" width="6.1640625" customWidth="1"/>
    <col min="6" max="6" width="5.83203125" customWidth="1"/>
    <col min="7" max="7" width="6" customWidth="1"/>
    <col min="8" max="8" width="7" customWidth="1"/>
    <col min="9" max="10" width="7.33203125" customWidth="1"/>
    <col min="11" max="11" width="15.83203125" style="38" customWidth="1"/>
    <col min="12" max="12" width="13.33203125" bestFit="1" customWidth="1"/>
    <col min="13" max="13" width="10.6640625" customWidth="1"/>
    <col min="14" max="14" width="13" customWidth="1"/>
    <col min="15" max="15" width="21.33203125" customWidth="1"/>
  </cols>
  <sheetData>
    <row r="1" spans="1:16" s="5" customFormat="1" ht="17" thickBot="1" x14ac:dyDescent="0.25">
      <c r="A1" s="39"/>
      <c r="B1" s="40"/>
      <c r="C1" s="40"/>
      <c r="D1" s="40"/>
      <c r="E1" s="93" t="s">
        <v>17</v>
      </c>
      <c r="F1" s="94"/>
      <c r="G1" s="95"/>
      <c r="H1" s="96" t="s">
        <v>18</v>
      </c>
      <c r="I1" s="97"/>
      <c r="J1" s="98"/>
      <c r="K1" s="41"/>
    </row>
    <row r="2" spans="1:16" s="5" customFormat="1" ht="52" thickBot="1" x14ac:dyDescent="0.25">
      <c r="A2" s="42" t="s">
        <v>30</v>
      </c>
      <c r="B2" s="43" t="s">
        <v>31</v>
      </c>
      <c r="C2" s="43" t="s">
        <v>19</v>
      </c>
      <c r="D2" s="44" t="s">
        <v>20</v>
      </c>
      <c r="E2" s="45">
        <v>2</v>
      </c>
      <c r="F2" s="46">
        <v>4</v>
      </c>
      <c r="G2" s="46">
        <v>6</v>
      </c>
      <c r="H2" s="46">
        <v>5</v>
      </c>
      <c r="I2" s="46">
        <v>10</v>
      </c>
      <c r="J2" s="47">
        <v>20</v>
      </c>
      <c r="K2" s="48" t="s">
        <v>21</v>
      </c>
    </row>
    <row r="3" spans="1:16" x14ac:dyDescent="0.2">
      <c r="A3" s="78">
        <v>1.3532999999999999</v>
      </c>
      <c r="B3" s="79">
        <f>A3*44/12</f>
        <v>4.9620999999999995</v>
      </c>
      <c r="C3" s="86">
        <v>10000</v>
      </c>
      <c r="D3" s="99">
        <f>(A3*(44/12)*C3)</f>
        <v>49620.999999999993</v>
      </c>
      <c r="E3" s="59"/>
      <c r="F3" s="60"/>
      <c r="G3" s="60"/>
      <c r="H3" s="59"/>
      <c r="I3" s="60"/>
      <c r="J3" s="61"/>
      <c r="K3" s="37">
        <v>642777.15920328104</v>
      </c>
      <c r="L3" s="10"/>
      <c r="M3" s="14" t="e">
        <f>#REF!</f>
        <v>#REF!</v>
      </c>
      <c r="N3" s="15" t="s">
        <v>26</v>
      </c>
      <c r="O3" s="15" t="s">
        <v>25</v>
      </c>
      <c r="P3" s="30" t="s">
        <v>24</v>
      </c>
    </row>
    <row r="4" spans="1:16" x14ac:dyDescent="0.2">
      <c r="A4" s="68"/>
      <c r="B4" s="80"/>
      <c r="C4" s="76"/>
      <c r="D4" s="100"/>
      <c r="E4" s="49"/>
      <c r="F4" s="50"/>
      <c r="G4" s="50"/>
      <c r="H4" s="50"/>
      <c r="I4" s="49"/>
      <c r="J4" s="51"/>
      <c r="K4" s="52">
        <v>2329094.8862795061</v>
      </c>
      <c r="M4" s="35"/>
      <c r="N4" s="13">
        <v>1</v>
      </c>
      <c r="O4" s="16"/>
      <c r="P4" s="31">
        <v>0.06</v>
      </c>
    </row>
    <row r="5" spans="1:16" x14ac:dyDescent="0.2">
      <c r="A5" s="68"/>
      <c r="B5" s="80"/>
      <c r="C5" s="76"/>
      <c r="D5" s="100"/>
      <c r="E5" s="49"/>
      <c r="F5" s="50"/>
      <c r="G5" s="50"/>
      <c r="H5" s="50"/>
      <c r="I5" s="50"/>
      <c r="J5" s="49"/>
      <c r="K5" s="52">
        <v>7936966.6534499945</v>
      </c>
      <c r="M5" s="36"/>
      <c r="N5" s="13">
        <v>2</v>
      </c>
      <c r="O5" s="34">
        <f t="shared" ref="O5:O23" si="0">initial*N5</f>
        <v>0</v>
      </c>
      <c r="P5" s="32"/>
    </row>
    <row r="6" spans="1:16" x14ac:dyDescent="0.2">
      <c r="A6" s="68"/>
      <c r="B6" s="80"/>
      <c r="C6" s="76"/>
      <c r="D6" s="100"/>
      <c r="E6" s="50"/>
      <c r="F6" s="49"/>
      <c r="G6" s="50"/>
      <c r="H6" s="49"/>
      <c r="I6" s="50"/>
      <c r="J6" s="51"/>
      <c r="K6" s="53">
        <v>595774.15250800911</v>
      </c>
      <c r="M6" s="36"/>
      <c r="N6" s="13">
        <v>3</v>
      </c>
      <c r="O6" s="34">
        <f t="shared" si="0"/>
        <v>0</v>
      </c>
      <c r="P6" s="32"/>
    </row>
    <row r="7" spans="1:16" x14ac:dyDescent="0.2">
      <c r="A7" s="68"/>
      <c r="B7" s="80"/>
      <c r="C7" s="76"/>
      <c r="D7" s="100"/>
      <c r="E7" s="50"/>
      <c r="F7" s="49"/>
      <c r="G7" s="50"/>
      <c r="H7" s="50"/>
      <c r="I7" s="49"/>
      <c r="J7" s="51"/>
      <c r="K7" s="52">
        <v>2034076.3408255309</v>
      </c>
      <c r="M7" s="36"/>
      <c r="N7" s="13">
        <v>4</v>
      </c>
      <c r="O7" s="34">
        <f t="shared" si="0"/>
        <v>0</v>
      </c>
      <c r="P7" s="32"/>
    </row>
    <row r="8" spans="1:16" x14ac:dyDescent="0.2">
      <c r="A8" s="68"/>
      <c r="B8" s="80"/>
      <c r="C8" s="76"/>
      <c r="D8" s="100"/>
      <c r="E8" s="50"/>
      <c r="F8" s="49"/>
      <c r="G8" s="50"/>
      <c r="H8" s="50"/>
      <c r="I8" s="50"/>
      <c r="J8" s="49"/>
      <c r="K8" s="54">
        <v>6160695.8439275119</v>
      </c>
      <c r="M8" s="36"/>
      <c r="N8" s="13">
        <v>5</v>
      </c>
      <c r="O8" s="34">
        <f t="shared" si="0"/>
        <v>0</v>
      </c>
      <c r="P8" s="32"/>
    </row>
    <row r="9" spans="1:16" x14ac:dyDescent="0.2">
      <c r="A9" s="68"/>
      <c r="B9" s="80"/>
      <c r="C9" s="76"/>
      <c r="D9" s="100"/>
      <c r="E9" s="50"/>
      <c r="F9" s="50"/>
      <c r="G9" s="49"/>
      <c r="H9" s="49"/>
      <c r="I9" s="50"/>
      <c r="J9" s="51"/>
      <c r="K9" s="52">
        <v>553120.94381394237</v>
      </c>
      <c r="M9" s="36"/>
      <c r="N9" s="13">
        <v>6</v>
      </c>
      <c r="O9" s="34">
        <f t="shared" si="0"/>
        <v>0</v>
      </c>
      <c r="P9" s="32"/>
    </row>
    <row r="10" spans="1:16" x14ac:dyDescent="0.2">
      <c r="A10" s="68"/>
      <c r="B10" s="80"/>
      <c r="C10" s="76"/>
      <c r="D10" s="100"/>
      <c r="E10" s="50"/>
      <c r="F10" s="50"/>
      <c r="G10" s="49"/>
      <c r="H10" s="50"/>
      <c r="I10" s="49"/>
      <c r="J10" s="51"/>
      <c r="K10" s="52">
        <v>1784490.6683315462</v>
      </c>
      <c r="M10" s="36"/>
      <c r="N10" s="13">
        <v>7</v>
      </c>
      <c r="O10" s="34">
        <f t="shared" si="0"/>
        <v>0</v>
      </c>
      <c r="P10" s="32"/>
    </row>
    <row r="11" spans="1:16" x14ac:dyDescent="0.2">
      <c r="A11" s="68"/>
      <c r="B11" s="81"/>
      <c r="C11" s="76"/>
      <c r="D11" s="101"/>
      <c r="E11" s="50"/>
      <c r="F11" s="50"/>
      <c r="G11" s="49"/>
      <c r="H11" s="50"/>
      <c r="I11" s="50"/>
      <c r="J11" s="49"/>
      <c r="K11" s="54">
        <v>4847989.8562887302</v>
      </c>
      <c r="M11" s="36"/>
      <c r="N11" s="13">
        <v>8</v>
      </c>
      <c r="O11" s="34">
        <f t="shared" si="0"/>
        <v>0</v>
      </c>
      <c r="P11" s="32"/>
    </row>
    <row r="12" spans="1:16" x14ac:dyDescent="0.2">
      <c r="A12" s="68">
        <v>0.1346</v>
      </c>
      <c r="B12" s="70">
        <f>A12*44/12</f>
        <v>0.49353333333333332</v>
      </c>
      <c r="C12" s="76">
        <v>10000</v>
      </c>
      <c r="D12" s="76">
        <f>(A12*(44/12)*C12)</f>
        <v>4935.333333333333</v>
      </c>
      <c r="E12" s="49"/>
      <c r="F12" s="50"/>
      <c r="G12" s="50"/>
      <c r="H12" s="49"/>
      <c r="I12" s="50"/>
      <c r="J12" s="51"/>
      <c r="K12" s="52">
        <v>63930.94</v>
      </c>
      <c r="M12" s="36"/>
      <c r="N12" s="13">
        <v>9</v>
      </c>
      <c r="O12" s="34">
        <f t="shared" si="0"/>
        <v>0</v>
      </c>
      <c r="P12" s="33"/>
    </row>
    <row r="13" spans="1:16" x14ac:dyDescent="0.2">
      <c r="A13" s="68"/>
      <c r="B13" s="70"/>
      <c r="C13" s="76"/>
      <c r="D13" s="76"/>
      <c r="E13" s="49"/>
      <c r="F13" s="50"/>
      <c r="G13" s="50"/>
      <c r="H13" s="50"/>
      <c r="I13" s="49"/>
      <c r="J13" s="51"/>
      <c r="K13" s="52">
        <v>231653.12324925847</v>
      </c>
      <c r="M13" s="36"/>
      <c r="N13" s="13">
        <v>10</v>
      </c>
      <c r="O13" s="34">
        <f t="shared" si="0"/>
        <v>0</v>
      </c>
      <c r="P13" s="33"/>
    </row>
    <row r="14" spans="1:16" x14ac:dyDescent="0.2">
      <c r="A14" s="68"/>
      <c r="B14" s="70"/>
      <c r="C14" s="76"/>
      <c r="D14" s="76"/>
      <c r="E14" s="49"/>
      <c r="F14" s="50"/>
      <c r="G14" s="50"/>
      <c r="H14" s="50"/>
      <c r="I14" s="50"/>
      <c r="J14" s="49"/>
      <c r="K14" s="52">
        <v>789415.28970248229</v>
      </c>
      <c r="M14" s="36"/>
      <c r="N14" s="13">
        <v>11</v>
      </c>
      <c r="O14" s="34">
        <f t="shared" si="0"/>
        <v>0</v>
      </c>
      <c r="P14" s="32"/>
    </row>
    <row r="15" spans="1:16" x14ac:dyDescent="0.2">
      <c r="A15" s="68"/>
      <c r="B15" s="70"/>
      <c r="C15" s="76"/>
      <c r="D15" s="76"/>
      <c r="E15" s="50"/>
      <c r="F15" s="49"/>
      <c r="G15" s="50"/>
      <c r="H15" s="49"/>
      <c r="I15" s="50"/>
      <c r="J15" s="51"/>
      <c r="K15" s="52">
        <v>59256</v>
      </c>
      <c r="M15" s="36"/>
      <c r="N15" s="13">
        <v>12</v>
      </c>
      <c r="O15" s="34">
        <f t="shared" si="0"/>
        <v>0</v>
      </c>
      <c r="P15" s="32"/>
    </row>
    <row r="16" spans="1:16" x14ac:dyDescent="0.2">
      <c r="A16" s="68"/>
      <c r="B16" s="70"/>
      <c r="C16" s="76"/>
      <c r="D16" s="76"/>
      <c r="E16" s="50"/>
      <c r="F16" s="49"/>
      <c r="G16" s="50"/>
      <c r="H16" s="50"/>
      <c r="I16" s="49"/>
      <c r="J16" s="51"/>
      <c r="K16" s="52">
        <v>202310.40824289987</v>
      </c>
      <c r="M16" s="36"/>
      <c r="N16" s="13">
        <v>13</v>
      </c>
      <c r="O16" s="34">
        <f t="shared" si="0"/>
        <v>0</v>
      </c>
      <c r="P16" s="32"/>
    </row>
    <row r="17" spans="1:23" x14ac:dyDescent="0.2">
      <c r="A17" s="68"/>
      <c r="B17" s="70"/>
      <c r="C17" s="76"/>
      <c r="D17" s="76"/>
      <c r="E17" s="50"/>
      <c r="F17" s="49"/>
      <c r="G17" s="50"/>
      <c r="H17" s="50"/>
      <c r="I17" s="50"/>
      <c r="J17" s="49"/>
      <c r="K17" s="52">
        <v>612746.36857507075</v>
      </c>
      <c r="M17" s="36"/>
      <c r="N17" s="13">
        <v>14</v>
      </c>
      <c r="O17" s="34">
        <f t="shared" si="0"/>
        <v>0</v>
      </c>
      <c r="P17" s="32"/>
    </row>
    <row r="18" spans="1:23" x14ac:dyDescent="0.2">
      <c r="A18" s="68"/>
      <c r="B18" s="70"/>
      <c r="C18" s="76"/>
      <c r="D18" s="76"/>
      <c r="E18" s="50"/>
      <c r="F18" s="50"/>
      <c r="G18" s="49"/>
      <c r="H18" s="49"/>
      <c r="I18" s="50"/>
      <c r="J18" s="51"/>
      <c r="K18" s="52">
        <v>55013.69</v>
      </c>
      <c r="M18" s="36"/>
      <c r="N18" s="13">
        <v>15</v>
      </c>
      <c r="O18" s="34">
        <f t="shared" si="0"/>
        <v>0</v>
      </c>
      <c r="P18" s="32"/>
      <c r="T18" s="9"/>
      <c r="U18" s="90"/>
      <c r="V18" s="90"/>
      <c r="W18" s="9"/>
    </row>
    <row r="19" spans="1:23" x14ac:dyDescent="0.2">
      <c r="A19" s="68"/>
      <c r="B19" s="70"/>
      <c r="C19" s="76"/>
      <c r="D19" s="76"/>
      <c r="E19" s="50"/>
      <c r="F19" s="50"/>
      <c r="G19" s="49"/>
      <c r="H19" s="50"/>
      <c r="I19" s="49"/>
      <c r="J19" s="51"/>
      <c r="K19" s="52">
        <v>177486.47303437971</v>
      </c>
      <c r="M19" s="36"/>
      <c r="N19" s="13">
        <v>16</v>
      </c>
      <c r="O19" s="34">
        <f t="shared" si="0"/>
        <v>0</v>
      </c>
      <c r="P19" s="32"/>
      <c r="Q19" s="11"/>
      <c r="R19" s="11"/>
      <c r="S19" s="11"/>
      <c r="T19" s="9"/>
      <c r="U19" s="12"/>
      <c r="V19" s="9"/>
      <c r="W19" s="9"/>
    </row>
    <row r="20" spans="1:23" ht="17" thickBot="1" x14ac:dyDescent="0.25">
      <c r="A20" s="69"/>
      <c r="B20" s="71"/>
      <c r="C20" s="77"/>
      <c r="D20" s="77"/>
      <c r="E20" s="57"/>
      <c r="F20" s="57"/>
      <c r="G20" s="58"/>
      <c r="H20" s="57"/>
      <c r="I20" s="57"/>
      <c r="J20" s="58"/>
      <c r="K20" s="55">
        <v>482183.87250163552</v>
      </c>
      <c r="M20" s="36"/>
      <c r="N20" s="13">
        <v>17</v>
      </c>
      <c r="O20" s="34">
        <f t="shared" si="0"/>
        <v>0</v>
      </c>
      <c r="P20" s="32"/>
      <c r="Q20" s="9"/>
      <c r="R20" s="9"/>
      <c r="S20" s="9"/>
      <c r="T20" s="9"/>
      <c r="U20" s="9"/>
      <c r="V20" s="9"/>
      <c r="W20" s="9"/>
    </row>
    <row r="21" spans="1:23" x14ac:dyDescent="0.2">
      <c r="A21" s="78">
        <v>1.3532999999999999</v>
      </c>
      <c r="B21" s="79">
        <f>A21*44/12</f>
        <v>4.9620999999999995</v>
      </c>
      <c r="C21" s="86">
        <v>15000</v>
      </c>
      <c r="D21" s="87">
        <f>(A21*(44/12)*C21)</f>
        <v>74431.499999999985</v>
      </c>
      <c r="E21" s="59"/>
      <c r="F21" s="60"/>
      <c r="G21" s="60"/>
      <c r="H21" s="59"/>
      <c r="I21" s="60"/>
      <c r="J21" s="61"/>
      <c r="K21" s="37">
        <v>964165.74</v>
      </c>
      <c r="M21" s="36"/>
      <c r="N21" s="13">
        <v>18</v>
      </c>
      <c r="O21" s="34">
        <f t="shared" si="0"/>
        <v>0</v>
      </c>
      <c r="P21" s="32"/>
      <c r="Q21" s="91"/>
      <c r="R21" s="92"/>
      <c r="S21" s="92"/>
      <c r="T21" s="9"/>
      <c r="U21" s="9"/>
      <c r="V21" s="9"/>
      <c r="W21" s="9"/>
    </row>
    <row r="22" spans="1:23" x14ac:dyDescent="0.2">
      <c r="A22" s="68"/>
      <c r="B22" s="80"/>
      <c r="C22" s="76"/>
      <c r="D22" s="88"/>
      <c r="E22" s="49"/>
      <c r="F22" s="50"/>
      <c r="G22" s="50"/>
      <c r="H22" s="50"/>
      <c r="I22" s="49"/>
      <c r="J22" s="51"/>
      <c r="K22" s="52">
        <v>3493642.3294192576</v>
      </c>
      <c r="M22" s="36"/>
      <c r="N22" s="13">
        <v>19</v>
      </c>
      <c r="O22" s="34">
        <f t="shared" si="0"/>
        <v>0</v>
      </c>
      <c r="P22" s="32"/>
      <c r="Q22" s="9"/>
      <c r="R22" s="9"/>
      <c r="S22" s="9"/>
      <c r="T22" s="9"/>
      <c r="U22" s="9"/>
      <c r="V22" s="9"/>
      <c r="W22" s="9"/>
    </row>
    <row r="23" spans="1:23" x14ac:dyDescent="0.2">
      <c r="A23" s="68"/>
      <c r="B23" s="80"/>
      <c r="C23" s="76"/>
      <c r="D23" s="88"/>
      <c r="E23" s="49"/>
      <c r="F23" s="50"/>
      <c r="G23" s="50"/>
      <c r="H23" s="50"/>
      <c r="I23" s="50"/>
      <c r="J23" s="49"/>
      <c r="K23" s="52">
        <v>11905449.980174989</v>
      </c>
      <c r="M23" s="36"/>
      <c r="N23" s="13">
        <v>20</v>
      </c>
      <c r="O23" s="34">
        <f t="shared" si="0"/>
        <v>0</v>
      </c>
      <c r="P23" s="32"/>
      <c r="Q23" s="9"/>
      <c r="R23" s="9"/>
      <c r="S23" s="9"/>
      <c r="T23" s="9"/>
      <c r="U23" s="9"/>
      <c r="V23" s="9"/>
      <c r="W23" s="9"/>
    </row>
    <row r="24" spans="1:23" ht="17" x14ac:dyDescent="0.2">
      <c r="A24" s="68"/>
      <c r="B24" s="80"/>
      <c r="C24" s="76"/>
      <c r="D24" s="88"/>
      <c r="E24" s="50"/>
      <c r="F24" s="49"/>
      <c r="G24" s="50"/>
      <c r="H24" s="49"/>
      <c r="I24" s="50"/>
      <c r="J24" s="51"/>
      <c r="K24" s="52">
        <v>893661.23</v>
      </c>
      <c r="M24" s="14">
        <f>M23</f>
        <v>0</v>
      </c>
      <c r="N24" s="17" t="s">
        <v>27</v>
      </c>
      <c r="O24" s="18">
        <f>NPV(P4,O4, O5,O6,O7,O8,O9,O10,O11,O12,O13,O14,O15,O16,O17,O18,O19,O20,O21,O22,O23)</f>
        <v>0</v>
      </c>
      <c r="P24" s="33"/>
    </row>
    <row r="25" spans="1:23" ht="17" x14ac:dyDescent="0.2">
      <c r="A25" s="68"/>
      <c r="B25" s="80"/>
      <c r="C25" s="76"/>
      <c r="D25" s="88"/>
      <c r="E25" s="50"/>
      <c r="F25" s="49"/>
      <c r="G25" s="50"/>
      <c r="H25" s="50"/>
      <c r="I25" s="49"/>
      <c r="J25" s="51"/>
      <c r="K25" s="52">
        <v>3051114.5112382956</v>
      </c>
      <c r="M25" s="14">
        <f>M24</f>
        <v>0</v>
      </c>
      <c r="N25" s="19" t="s">
        <v>21</v>
      </c>
      <c r="O25" s="22">
        <f>O24-O4</f>
        <v>0</v>
      </c>
      <c r="P25" s="29"/>
    </row>
    <row r="26" spans="1:23" x14ac:dyDescent="0.2">
      <c r="A26" s="68"/>
      <c r="B26" s="80"/>
      <c r="C26" s="76"/>
      <c r="D26" s="88"/>
      <c r="E26" s="50"/>
      <c r="F26" s="49"/>
      <c r="G26" s="50"/>
      <c r="H26" s="50"/>
      <c r="I26" s="50"/>
      <c r="J26" s="49"/>
      <c r="K26" s="52">
        <v>9241043.7658912688</v>
      </c>
    </row>
    <row r="27" spans="1:23" x14ac:dyDescent="0.2">
      <c r="A27" s="68"/>
      <c r="B27" s="80"/>
      <c r="C27" s="76"/>
      <c r="D27" s="88"/>
      <c r="E27" s="50"/>
      <c r="F27" s="50"/>
      <c r="G27" s="49"/>
      <c r="H27" s="49"/>
      <c r="I27" s="50"/>
      <c r="J27" s="51"/>
      <c r="K27" s="52">
        <v>829681.42</v>
      </c>
      <c r="M27" s="14" t="e">
        <f>#REF!</f>
        <v>#REF!</v>
      </c>
      <c r="N27" s="15" t="s">
        <v>26</v>
      </c>
      <c r="O27" s="15" t="s">
        <v>25</v>
      </c>
      <c r="P27" s="30" t="s">
        <v>24</v>
      </c>
    </row>
    <row r="28" spans="1:23" x14ac:dyDescent="0.2">
      <c r="A28" s="68"/>
      <c r="B28" s="80"/>
      <c r="C28" s="76"/>
      <c r="D28" s="88"/>
      <c r="E28" s="50"/>
      <c r="F28" s="50"/>
      <c r="G28" s="49"/>
      <c r="H28" s="50"/>
      <c r="I28" s="49"/>
      <c r="J28" s="51"/>
      <c r="K28" s="52">
        <v>2676736.0024973187</v>
      </c>
      <c r="M28" s="35"/>
      <c r="N28" s="13">
        <v>1</v>
      </c>
      <c r="O28" s="16"/>
      <c r="P28" s="31">
        <v>0.06</v>
      </c>
    </row>
    <row r="29" spans="1:23" x14ac:dyDescent="0.2">
      <c r="A29" s="68"/>
      <c r="B29" s="81"/>
      <c r="C29" s="76"/>
      <c r="D29" s="89"/>
      <c r="E29" s="50"/>
      <c r="F29" s="50"/>
      <c r="G29" s="49"/>
      <c r="H29" s="50"/>
      <c r="I29" s="50"/>
      <c r="J29" s="49"/>
      <c r="K29" s="52">
        <v>7271984.7844330976</v>
      </c>
      <c r="M29" s="36"/>
      <c r="N29" s="13">
        <v>2</v>
      </c>
      <c r="O29" s="34">
        <f>initial2*N29</f>
        <v>0</v>
      </c>
      <c r="P29" s="32"/>
    </row>
    <row r="30" spans="1:23" x14ac:dyDescent="0.2">
      <c r="A30" s="68">
        <v>0.1346</v>
      </c>
      <c r="B30" s="70">
        <f>A30*44/12</f>
        <v>0.49353333333333332</v>
      </c>
      <c r="C30" s="76">
        <v>15000</v>
      </c>
      <c r="D30" s="76">
        <f>(A30*(44/12)*C30)</f>
        <v>7403</v>
      </c>
      <c r="E30" s="49"/>
      <c r="F30" s="50"/>
      <c r="G30" s="50"/>
      <c r="H30" s="49"/>
      <c r="I30" s="50"/>
      <c r="J30" s="51"/>
      <c r="K30" s="52">
        <v>95896.48</v>
      </c>
      <c r="M30" s="36"/>
      <c r="N30" s="13">
        <v>3</v>
      </c>
      <c r="O30" s="34">
        <f>initial2*N30</f>
        <v>0</v>
      </c>
      <c r="P30" s="32"/>
    </row>
    <row r="31" spans="1:23" x14ac:dyDescent="0.2">
      <c r="A31" s="68"/>
      <c r="B31" s="70"/>
      <c r="C31" s="76"/>
      <c r="D31" s="76"/>
      <c r="E31" s="49"/>
      <c r="F31" s="50"/>
      <c r="G31" s="50"/>
      <c r="H31" s="50"/>
      <c r="I31" s="49"/>
      <c r="J31" s="51"/>
      <c r="K31" s="52">
        <v>347479.68487388769</v>
      </c>
      <c r="M31" s="36"/>
      <c r="N31" s="13">
        <v>4</v>
      </c>
      <c r="O31" s="34">
        <f>initial2*N31</f>
        <v>0</v>
      </c>
      <c r="P31" s="32"/>
    </row>
    <row r="32" spans="1:23" x14ac:dyDescent="0.2">
      <c r="A32" s="68"/>
      <c r="B32" s="70"/>
      <c r="C32" s="76"/>
      <c r="D32" s="76"/>
      <c r="E32" s="49"/>
      <c r="F32" s="50"/>
      <c r="G32" s="50"/>
      <c r="H32" s="50"/>
      <c r="I32" s="50"/>
      <c r="J32" s="49"/>
      <c r="K32" s="56">
        <v>1184122.9345537233</v>
      </c>
      <c r="M32" s="36"/>
      <c r="N32" s="13">
        <v>5</v>
      </c>
      <c r="O32" s="34">
        <f>initial2*N32</f>
        <v>0</v>
      </c>
      <c r="P32" s="32"/>
    </row>
    <row r="33" spans="1:16" x14ac:dyDescent="0.2">
      <c r="A33" s="68"/>
      <c r="B33" s="70"/>
      <c r="C33" s="76"/>
      <c r="D33" s="76"/>
      <c r="E33" s="50"/>
      <c r="F33" s="49"/>
      <c r="G33" s="50"/>
      <c r="H33" s="49"/>
      <c r="I33" s="50"/>
      <c r="J33" s="51"/>
      <c r="K33" s="52">
        <v>88884.06</v>
      </c>
      <c r="M33" s="36"/>
      <c r="N33" s="13">
        <v>6</v>
      </c>
      <c r="O33" s="34"/>
      <c r="P33" s="32"/>
    </row>
    <row r="34" spans="1:16" x14ac:dyDescent="0.2">
      <c r="A34" s="68"/>
      <c r="B34" s="70"/>
      <c r="C34" s="76"/>
      <c r="D34" s="76"/>
      <c r="E34" s="50"/>
      <c r="F34" s="49"/>
      <c r="G34" s="50"/>
      <c r="H34" s="50"/>
      <c r="I34" s="49"/>
      <c r="J34" s="51"/>
      <c r="K34" s="52">
        <v>303465.61236434983</v>
      </c>
      <c r="M34" s="36"/>
      <c r="N34" s="13">
        <v>7</v>
      </c>
      <c r="O34" s="34"/>
      <c r="P34" s="32"/>
    </row>
    <row r="35" spans="1:16" x14ac:dyDescent="0.2">
      <c r="A35" s="68"/>
      <c r="B35" s="70"/>
      <c r="C35" s="76"/>
      <c r="D35" s="76"/>
      <c r="E35" s="50"/>
      <c r="F35" s="49"/>
      <c r="G35" s="50"/>
      <c r="H35" s="50"/>
      <c r="I35" s="50"/>
      <c r="J35" s="49"/>
      <c r="K35" s="56">
        <v>919119.55286260624</v>
      </c>
      <c r="M35" s="36"/>
      <c r="N35" s="13">
        <v>8</v>
      </c>
      <c r="O35" s="34"/>
      <c r="P35" s="32"/>
    </row>
    <row r="36" spans="1:16" x14ac:dyDescent="0.2">
      <c r="A36" s="68"/>
      <c r="B36" s="70"/>
      <c r="C36" s="76"/>
      <c r="D36" s="76"/>
      <c r="E36" s="50"/>
      <c r="F36" s="50"/>
      <c r="G36" s="49"/>
      <c r="H36" s="49"/>
      <c r="I36" s="50"/>
      <c r="J36" s="51"/>
      <c r="K36" s="52">
        <v>82520.59</v>
      </c>
      <c r="M36" s="36"/>
      <c r="N36" s="13">
        <v>9</v>
      </c>
      <c r="O36" s="34"/>
      <c r="P36" s="33"/>
    </row>
    <row r="37" spans="1:16" x14ac:dyDescent="0.2">
      <c r="A37" s="68"/>
      <c r="B37" s="70"/>
      <c r="C37" s="76"/>
      <c r="D37" s="76"/>
      <c r="E37" s="50"/>
      <c r="F37" s="50"/>
      <c r="G37" s="49"/>
      <c r="H37" s="50"/>
      <c r="I37" s="49"/>
      <c r="J37" s="51"/>
      <c r="K37" s="52">
        <v>266229.70955156966</v>
      </c>
      <c r="M37" s="36"/>
      <c r="N37" s="13">
        <v>10</v>
      </c>
      <c r="O37" s="34"/>
      <c r="P37" s="33"/>
    </row>
    <row r="38" spans="1:16" ht="17" thickBot="1" x14ac:dyDescent="0.25">
      <c r="A38" s="69"/>
      <c r="B38" s="71"/>
      <c r="C38" s="77"/>
      <c r="D38" s="77"/>
      <c r="E38" s="57"/>
      <c r="F38" s="57"/>
      <c r="G38" s="58"/>
      <c r="H38" s="57"/>
      <c r="I38" s="57"/>
      <c r="J38" s="58"/>
      <c r="K38" s="55">
        <v>723275.80875245342</v>
      </c>
      <c r="M38" s="36"/>
      <c r="N38" s="13">
        <v>11</v>
      </c>
      <c r="O38" s="34"/>
      <c r="P38" s="32"/>
    </row>
    <row r="39" spans="1:16" x14ac:dyDescent="0.2">
      <c r="A39" s="78">
        <v>1.3532999999999999</v>
      </c>
      <c r="B39" s="79">
        <f>A39*44/12</f>
        <v>4.9620999999999995</v>
      </c>
      <c r="C39" s="86">
        <v>20000</v>
      </c>
      <c r="D39" s="87">
        <f>(A39*(44/12)*C39)</f>
        <v>99241.999999999985</v>
      </c>
      <c r="E39" s="59"/>
      <c r="F39" s="60"/>
      <c r="G39" s="60"/>
      <c r="H39" s="59"/>
      <c r="I39" s="60"/>
      <c r="J39" s="61"/>
      <c r="K39" s="37">
        <v>1285554.32</v>
      </c>
      <c r="M39" s="36"/>
      <c r="N39" s="13">
        <v>12</v>
      </c>
      <c r="O39" s="34"/>
      <c r="P39" s="32"/>
    </row>
    <row r="40" spans="1:16" x14ac:dyDescent="0.2">
      <c r="A40" s="68"/>
      <c r="B40" s="80"/>
      <c r="C40" s="76"/>
      <c r="D40" s="88"/>
      <c r="E40" s="49"/>
      <c r="F40" s="50"/>
      <c r="G40" s="50"/>
      <c r="H40" s="50"/>
      <c r="I40" s="49"/>
      <c r="J40" s="51"/>
      <c r="K40" s="52">
        <v>4658189.7725590114</v>
      </c>
      <c r="M40" s="36"/>
      <c r="N40" s="13">
        <v>13</v>
      </c>
      <c r="O40" s="34"/>
      <c r="P40" s="32"/>
    </row>
    <row r="41" spans="1:16" x14ac:dyDescent="0.2">
      <c r="A41" s="68"/>
      <c r="B41" s="80"/>
      <c r="C41" s="76"/>
      <c r="D41" s="88"/>
      <c r="E41" s="49"/>
      <c r="F41" s="50"/>
      <c r="G41" s="50"/>
      <c r="H41" s="50"/>
      <c r="I41" s="50"/>
      <c r="J41" s="49"/>
      <c r="K41" s="52">
        <v>15873933.306899989</v>
      </c>
      <c r="M41" s="36"/>
      <c r="N41" s="13">
        <v>14</v>
      </c>
      <c r="O41" s="34"/>
      <c r="P41" s="32"/>
    </row>
    <row r="42" spans="1:16" x14ac:dyDescent="0.2">
      <c r="A42" s="68"/>
      <c r="B42" s="80"/>
      <c r="C42" s="76"/>
      <c r="D42" s="88"/>
      <c r="E42" s="50"/>
      <c r="F42" s="49"/>
      <c r="G42" s="50"/>
      <c r="H42" s="49"/>
      <c r="I42" s="50"/>
      <c r="J42" s="51"/>
      <c r="K42" s="52">
        <v>1191548.31</v>
      </c>
      <c r="M42" s="36"/>
      <c r="N42" s="13">
        <v>15</v>
      </c>
      <c r="O42" s="34"/>
      <c r="P42" s="32"/>
    </row>
    <row r="43" spans="1:16" x14ac:dyDescent="0.2">
      <c r="A43" s="68"/>
      <c r="B43" s="80"/>
      <c r="C43" s="76"/>
      <c r="D43" s="88"/>
      <c r="E43" s="50"/>
      <c r="F43" s="49"/>
      <c r="G43" s="50"/>
      <c r="H43" s="50"/>
      <c r="I43" s="49"/>
      <c r="J43" s="51"/>
      <c r="K43" s="52">
        <v>4068152.6816510609</v>
      </c>
      <c r="M43" s="36"/>
      <c r="N43" s="13">
        <v>16</v>
      </c>
      <c r="O43" s="34"/>
      <c r="P43" s="32"/>
    </row>
    <row r="44" spans="1:16" x14ac:dyDescent="0.2">
      <c r="A44" s="68"/>
      <c r="B44" s="80"/>
      <c r="C44" s="76"/>
      <c r="D44" s="88"/>
      <c r="E44" s="50"/>
      <c r="F44" s="49"/>
      <c r="G44" s="50"/>
      <c r="H44" s="50"/>
      <c r="I44" s="50"/>
      <c r="J44" s="49"/>
      <c r="K44" s="52">
        <v>12321391.687855024</v>
      </c>
      <c r="M44" s="36"/>
      <c r="N44" s="13">
        <v>17</v>
      </c>
      <c r="O44" s="34"/>
      <c r="P44" s="32"/>
    </row>
    <row r="45" spans="1:16" x14ac:dyDescent="0.2">
      <c r="A45" s="68"/>
      <c r="B45" s="80"/>
      <c r="C45" s="76"/>
      <c r="D45" s="88"/>
      <c r="E45" s="50"/>
      <c r="F45" s="50"/>
      <c r="G45" s="49"/>
      <c r="H45" s="49"/>
      <c r="I45" s="50"/>
      <c r="J45" s="51"/>
      <c r="K45" s="52">
        <v>1106241.8899999999</v>
      </c>
      <c r="M45" s="36"/>
      <c r="N45" s="13">
        <v>18</v>
      </c>
      <c r="O45" s="34"/>
      <c r="P45" s="32"/>
    </row>
    <row r="46" spans="1:16" x14ac:dyDescent="0.2">
      <c r="A46" s="68"/>
      <c r="B46" s="80"/>
      <c r="C46" s="76"/>
      <c r="D46" s="88"/>
      <c r="E46" s="50"/>
      <c r="F46" s="50"/>
      <c r="G46" s="49"/>
      <c r="H46" s="50"/>
      <c r="I46" s="49"/>
      <c r="J46" s="51"/>
      <c r="K46" s="52">
        <v>3568981.3366630916</v>
      </c>
      <c r="M46" s="36"/>
      <c r="N46" s="13">
        <v>19</v>
      </c>
      <c r="O46" s="34"/>
      <c r="P46" s="32"/>
    </row>
    <row r="47" spans="1:16" x14ac:dyDescent="0.2">
      <c r="A47" s="68"/>
      <c r="B47" s="81"/>
      <c r="C47" s="76"/>
      <c r="D47" s="89"/>
      <c r="E47" s="50"/>
      <c r="F47" s="50"/>
      <c r="G47" s="49"/>
      <c r="H47" s="50"/>
      <c r="I47" s="50"/>
      <c r="J47" s="49"/>
      <c r="K47" s="52">
        <v>9695979.7125774603</v>
      </c>
      <c r="M47" s="36"/>
      <c r="N47" s="13">
        <v>20</v>
      </c>
      <c r="O47" s="34"/>
      <c r="P47" s="32"/>
    </row>
    <row r="48" spans="1:16" ht="17" x14ac:dyDescent="0.2">
      <c r="A48" s="68">
        <v>0.1346</v>
      </c>
      <c r="B48" s="70">
        <f>A48*44/12</f>
        <v>0.49353333333333332</v>
      </c>
      <c r="C48" s="76">
        <v>20000</v>
      </c>
      <c r="D48" s="76">
        <f>(A48*(44/12)*C48)</f>
        <v>9870.6666666666661</v>
      </c>
      <c r="E48" s="49"/>
      <c r="F48" s="50"/>
      <c r="G48" s="50"/>
      <c r="H48" s="49"/>
      <c r="I48" s="50"/>
      <c r="J48" s="51"/>
      <c r="K48" s="52">
        <v>127861.97536209507</v>
      </c>
      <c r="M48" s="14">
        <f>M47</f>
        <v>0</v>
      </c>
      <c r="N48" s="17" t="s">
        <v>27</v>
      </c>
      <c r="O48" s="18">
        <f>NPV(P28,O28, O29,O30,O31,O32,O33,O34,O35,O36,O37,O38,O39,O40,O41,O42,O43,O44,O45,O46,O47)</f>
        <v>0</v>
      </c>
      <c r="P48" s="33"/>
    </row>
    <row r="49" spans="1:16" ht="17" x14ac:dyDescent="0.2">
      <c r="A49" s="68"/>
      <c r="B49" s="70"/>
      <c r="C49" s="76"/>
      <c r="D49" s="76"/>
      <c r="E49" s="49"/>
      <c r="F49" s="50"/>
      <c r="G49" s="50"/>
      <c r="H49" s="50"/>
      <c r="I49" s="49"/>
      <c r="J49" s="51"/>
      <c r="K49" s="52">
        <v>463306.24649851694</v>
      </c>
      <c r="M49" s="14">
        <f>M48</f>
        <v>0</v>
      </c>
      <c r="N49" s="19" t="s">
        <v>21</v>
      </c>
      <c r="O49" s="22">
        <f>O48-O28</f>
        <v>0</v>
      </c>
      <c r="P49" s="29"/>
    </row>
    <row r="50" spans="1:16" x14ac:dyDescent="0.2">
      <c r="A50" s="68"/>
      <c r="B50" s="70"/>
      <c r="C50" s="76"/>
      <c r="D50" s="76"/>
      <c r="E50" s="49"/>
      <c r="F50" s="50"/>
      <c r="G50" s="50"/>
      <c r="H50" s="50"/>
      <c r="I50" s="50"/>
      <c r="J50" s="49"/>
      <c r="K50" s="52">
        <v>1578830.5794049646</v>
      </c>
    </row>
    <row r="51" spans="1:16" x14ac:dyDescent="0.2">
      <c r="A51" s="68"/>
      <c r="B51" s="70"/>
      <c r="C51" s="76"/>
      <c r="D51" s="76"/>
      <c r="E51" s="50"/>
      <c r="F51" s="49"/>
      <c r="G51" s="50"/>
      <c r="H51" s="49"/>
      <c r="I51" s="50"/>
      <c r="J51" s="51"/>
      <c r="K51" s="52">
        <v>118512.08294920273</v>
      </c>
      <c r="N51" s="15" t="s">
        <v>26</v>
      </c>
      <c r="O51" s="15" t="s">
        <v>25</v>
      </c>
      <c r="P51" s="30" t="s">
        <v>24</v>
      </c>
    </row>
    <row r="52" spans="1:16" x14ac:dyDescent="0.2">
      <c r="A52" s="68"/>
      <c r="B52" s="70"/>
      <c r="C52" s="76"/>
      <c r="D52" s="76"/>
      <c r="E52" s="50"/>
      <c r="F52" s="49"/>
      <c r="G52" s="50"/>
      <c r="H52" s="50"/>
      <c r="I52" s="49"/>
      <c r="J52" s="51"/>
      <c r="K52" s="52">
        <v>404620.81648579973</v>
      </c>
      <c r="N52" s="13">
        <v>1</v>
      </c>
      <c r="O52" s="16">
        <f>D66</f>
        <v>12338.333333333334</v>
      </c>
      <c r="P52" s="31">
        <v>0.06</v>
      </c>
    </row>
    <row r="53" spans="1:16" x14ac:dyDescent="0.2">
      <c r="A53" s="68"/>
      <c r="B53" s="70"/>
      <c r="C53" s="76"/>
      <c r="D53" s="76"/>
      <c r="E53" s="50"/>
      <c r="F53" s="49"/>
      <c r="G53" s="50"/>
      <c r="H53" s="50"/>
      <c r="I53" s="50"/>
      <c r="J53" s="49"/>
      <c r="K53" s="52">
        <v>1225492.7371501415</v>
      </c>
      <c r="N53" s="13">
        <v>2</v>
      </c>
      <c r="O53" s="34">
        <f t="shared" ref="O53:O61" si="1">initial3*N53</f>
        <v>24676.666666666668</v>
      </c>
      <c r="P53" s="32"/>
    </row>
    <row r="54" spans="1:16" x14ac:dyDescent="0.2">
      <c r="A54" s="68"/>
      <c r="B54" s="70"/>
      <c r="C54" s="76"/>
      <c r="D54" s="76"/>
      <c r="E54" s="50"/>
      <c r="F54" s="50"/>
      <c r="G54" s="49"/>
      <c r="H54" s="49"/>
      <c r="I54" s="50"/>
      <c r="J54" s="51"/>
      <c r="K54" s="52">
        <v>110027.45738174334</v>
      </c>
      <c r="N54" s="13">
        <v>3</v>
      </c>
      <c r="O54" s="34">
        <f t="shared" si="1"/>
        <v>37015</v>
      </c>
      <c r="P54" s="32"/>
    </row>
    <row r="55" spans="1:16" x14ac:dyDescent="0.2">
      <c r="A55" s="68"/>
      <c r="B55" s="70"/>
      <c r="C55" s="76"/>
      <c r="D55" s="76"/>
      <c r="E55" s="50"/>
      <c r="F55" s="50"/>
      <c r="G55" s="49"/>
      <c r="H55" s="50"/>
      <c r="I55" s="49"/>
      <c r="J55" s="51"/>
      <c r="K55" s="52">
        <v>354972.94606875943</v>
      </c>
      <c r="N55" s="13">
        <v>4</v>
      </c>
      <c r="O55" s="34">
        <f t="shared" si="1"/>
        <v>49353.333333333336</v>
      </c>
      <c r="P55" s="32"/>
    </row>
    <row r="56" spans="1:16" ht="17" thickBot="1" x14ac:dyDescent="0.25">
      <c r="A56" s="69"/>
      <c r="B56" s="71"/>
      <c r="C56" s="77"/>
      <c r="D56" s="77"/>
      <c r="E56" s="57"/>
      <c r="F56" s="57"/>
      <c r="G56" s="58"/>
      <c r="H56" s="57"/>
      <c r="I56" s="57"/>
      <c r="J56" s="58"/>
      <c r="K56" s="55">
        <v>964367.74500327103</v>
      </c>
      <c r="N56" s="13">
        <v>5</v>
      </c>
      <c r="O56" s="34">
        <f t="shared" si="1"/>
        <v>61691.666666666672</v>
      </c>
      <c r="P56" s="32"/>
    </row>
    <row r="57" spans="1:16" x14ac:dyDescent="0.2">
      <c r="A57" s="78">
        <v>1.3532999999999999</v>
      </c>
      <c r="B57" s="79">
        <f>A57*44/12</f>
        <v>4.9620999999999995</v>
      </c>
      <c r="C57" s="82">
        <v>25000</v>
      </c>
      <c r="D57" s="83">
        <f>(A57*(44/12)*C57)</f>
        <v>124052.49999999999</v>
      </c>
      <c r="E57" s="59"/>
      <c r="F57" s="60"/>
      <c r="G57" s="60"/>
      <c r="H57" s="59"/>
      <c r="I57" s="60"/>
      <c r="J57" s="61"/>
      <c r="K57" s="37">
        <v>1606942.9</v>
      </c>
      <c r="M57" s="14">
        <f>M81</f>
        <v>0</v>
      </c>
      <c r="N57" s="13">
        <v>6</v>
      </c>
      <c r="O57" s="34">
        <f t="shared" si="1"/>
        <v>74030</v>
      </c>
      <c r="P57" s="32"/>
    </row>
    <row r="58" spans="1:16" x14ac:dyDescent="0.2">
      <c r="A58" s="68"/>
      <c r="B58" s="80"/>
      <c r="C58" s="72"/>
      <c r="D58" s="84"/>
      <c r="E58" s="49"/>
      <c r="F58" s="50"/>
      <c r="G58" s="50"/>
      <c r="H58" s="50"/>
      <c r="I58" s="49"/>
      <c r="J58" s="51"/>
      <c r="K58" s="52">
        <v>5822737.2156987637</v>
      </c>
      <c r="N58" s="13">
        <v>7</v>
      </c>
      <c r="O58" s="34">
        <f t="shared" si="1"/>
        <v>86368.333333333343</v>
      </c>
      <c r="P58" s="32"/>
    </row>
    <row r="59" spans="1:16" x14ac:dyDescent="0.2">
      <c r="A59" s="68"/>
      <c r="B59" s="80"/>
      <c r="C59" s="72"/>
      <c r="D59" s="84"/>
      <c r="E59" s="49"/>
      <c r="F59" s="50"/>
      <c r="G59" s="50"/>
      <c r="H59" s="50"/>
      <c r="I59" s="50"/>
      <c r="J59" s="49"/>
      <c r="K59" s="52">
        <v>19842416.629999999</v>
      </c>
      <c r="N59" s="13">
        <v>8</v>
      </c>
      <c r="O59" s="34">
        <f t="shared" si="1"/>
        <v>98706.666666666672</v>
      </c>
      <c r="P59" s="32"/>
    </row>
    <row r="60" spans="1:16" x14ac:dyDescent="0.2">
      <c r="A60" s="68"/>
      <c r="B60" s="80"/>
      <c r="C60" s="72"/>
      <c r="D60" s="84"/>
      <c r="E60" s="50"/>
      <c r="F60" s="49"/>
      <c r="G60" s="50"/>
      <c r="H60" s="49"/>
      <c r="I60" s="50"/>
      <c r="J60" s="51"/>
      <c r="K60" s="52">
        <v>1489435.38</v>
      </c>
      <c r="N60" s="13">
        <v>9</v>
      </c>
      <c r="O60" s="34">
        <f t="shared" si="1"/>
        <v>111045</v>
      </c>
      <c r="P60" s="33"/>
    </row>
    <row r="61" spans="1:16" x14ac:dyDescent="0.2">
      <c r="A61" s="68"/>
      <c r="B61" s="80"/>
      <c r="C61" s="72"/>
      <c r="D61" s="84"/>
      <c r="E61" s="50"/>
      <c r="F61" s="49"/>
      <c r="G61" s="50"/>
      <c r="H61" s="50"/>
      <c r="I61" s="49"/>
      <c r="J61" s="51"/>
      <c r="K61" s="52">
        <v>5085190.8520638254</v>
      </c>
      <c r="N61" s="13">
        <v>10</v>
      </c>
      <c r="O61" s="34">
        <f t="shared" si="1"/>
        <v>123383.33333333334</v>
      </c>
      <c r="P61" s="33"/>
    </row>
    <row r="62" spans="1:16" x14ac:dyDescent="0.2">
      <c r="A62" s="68"/>
      <c r="B62" s="80"/>
      <c r="C62" s="72"/>
      <c r="D62" s="84"/>
      <c r="E62" s="50"/>
      <c r="F62" s="49"/>
      <c r="G62" s="50"/>
      <c r="H62" s="50"/>
      <c r="I62" s="50"/>
      <c r="J62" s="49"/>
      <c r="K62" s="52">
        <v>15401739.609818781</v>
      </c>
      <c r="N62" s="13">
        <v>11</v>
      </c>
      <c r="O62" s="34"/>
      <c r="P62" s="32"/>
    </row>
    <row r="63" spans="1:16" x14ac:dyDescent="0.2">
      <c r="A63" s="68"/>
      <c r="B63" s="80"/>
      <c r="C63" s="72"/>
      <c r="D63" s="84"/>
      <c r="E63" s="50"/>
      <c r="F63" s="50"/>
      <c r="G63" s="49"/>
      <c r="H63" s="49"/>
      <c r="I63" s="50"/>
      <c r="J63" s="51"/>
      <c r="K63" s="52">
        <v>1382802.36</v>
      </c>
      <c r="N63" s="13">
        <v>12</v>
      </c>
      <c r="O63" s="34"/>
      <c r="P63" s="32"/>
    </row>
    <row r="64" spans="1:16" x14ac:dyDescent="0.2">
      <c r="A64" s="68"/>
      <c r="B64" s="80"/>
      <c r="C64" s="72"/>
      <c r="D64" s="84"/>
      <c r="E64" s="50"/>
      <c r="F64" s="50"/>
      <c r="G64" s="49"/>
      <c r="H64" s="50"/>
      <c r="I64" s="49"/>
      <c r="J64" s="51"/>
      <c r="K64" s="52">
        <v>4461226.670828864</v>
      </c>
      <c r="N64" s="13">
        <v>13</v>
      </c>
      <c r="O64" s="34"/>
      <c r="P64" s="32"/>
    </row>
    <row r="65" spans="1:16" x14ac:dyDescent="0.2">
      <c r="A65" s="68"/>
      <c r="B65" s="81"/>
      <c r="C65" s="72"/>
      <c r="D65" s="85"/>
      <c r="E65" s="50"/>
      <c r="F65" s="50"/>
      <c r="G65" s="49"/>
      <c r="H65" s="50"/>
      <c r="I65" s="50"/>
      <c r="J65" s="49"/>
      <c r="K65" s="52">
        <v>12119974.640721826</v>
      </c>
      <c r="N65" s="13">
        <v>14</v>
      </c>
      <c r="O65" s="34"/>
      <c r="P65" s="32"/>
    </row>
    <row r="66" spans="1:16" x14ac:dyDescent="0.2">
      <c r="A66" s="68">
        <v>0.1346</v>
      </c>
      <c r="B66" s="70">
        <f>A66*44/12</f>
        <v>0.49353333333333332</v>
      </c>
      <c r="C66" s="72">
        <v>25000</v>
      </c>
      <c r="D66" s="74">
        <f>(A66*(44/12)*C66)</f>
        <v>12338.333333333334</v>
      </c>
      <c r="E66" s="49"/>
      <c r="F66" s="50"/>
      <c r="G66" s="50"/>
      <c r="H66" s="49"/>
      <c r="I66" s="50"/>
      <c r="J66" s="51"/>
      <c r="K66" s="52">
        <v>159827</v>
      </c>
      <c r="N66" s="13">
        <v>15</v>
      </c>
      <c r="O66" s="34"/>
      <c r="P66" s="32"/>
    </row>
    <row r="67" spans="1:16" x14ac:dyDescent="0.2">
      <c r="A67" s="68"/>
      <c r="B67" s="70"/>
      <c r="C67" s="72"/>
      <c r="D67" s="74"/>
      <c r="E67" s="49"/>
      <c r="F67" s="50"/>
      <c r="G67" s="50"/>
      <c r="H67" s="50"/>
      <c r="I67" s="49"/>
      <c r="J67" s="51"/>
      <c r="K67" s="52">
        <v>579132.80812314607</v>
      </c>
      <c r="N67" s="13">
        <v>16</v>
      </c>
      <c r="O67" s="34"/>
      <c r="P67" s="32"/>
    </row>
    <row r="68" spans="1:16" x14ac:dyDescent="0.2">
      <c r="A68" s="68"/>
      <c r="B68" s="70"/>
      <c r="C68" s="72"/>
      <c r="D68" s="74"/>
      <c r="E68" s="49"/>
      <c r="F68" s="50"/>
      <c r="G68" s="50"/>
      <c r="H68" s="50"/>
      <c r="I68" s="50"/>
      <c r="J68" s="49"/>
      <c r="K68" s="52">
        <v>1973538.2242562056</v>
      </c>
      <c r="N68" s="13">
        <v>17</v>
      </c>
      <c r="O68" s="34"/>
      <c r="P68" s="32"/>
    </row>
    <row r="69" spans="1:16" x14ac:dyDescent="0.2">
      <c r="A69" s="68"/>
      <c r="B69" s="70"/>
      <c r="C69" s="72"/>
      <c r="D69" s="74"/>
      <c r="E69" s="50"/>
      <c r="F69" s="49"/>
      <c r="G69" s="50"/>
      <c r="H69" s="49"/>
      <c r="I69" s="50"/>
      <c r="J69" s="51"/>
      <c r="K69" s="52">
        <v>148140.06</v>
      </c>
      <c r="N69" s="13">
        <v>18</v>
      </c>
      <c r="O69" s="34"/>
      <c r="P69" s="32"/>
    </row>
    <row r="70" spans="1:16" x14ac:dyDescent="0.2">
      <c r="A70" s="68"/>
      <c r="B70" s="70"/>
      <c r="C70" s="72"/>
      <c r="D70" s="74"/>
      <c r="E70" s="50"/>
      <c r="F70" s="49"/>
      <c r="G70" s="50"/>
      <c r="H70" s="50"/>
      <c r="I70" s="49"/>
      <c r="J70" s="51"/>
      <c r="K70" s="52">
        <v>505776.02060724987</v>
      </c>
      <c r="N70" s="13">
        <v>19</v>
      </c>
      <c r="O70" s="34"/>
      <c r="P70" s="32"/>
    </row>
    <row r="71" spans="1:16" x14ac:dyDescent="0.2">
      <c r="A71" s="68"/>
      <c r="B71" s="70"/>
      <c r="C71" s="72"/>
      <c r="D71" s="74"/>
      <c r="E71" s="50"/>
      <c r="F71" s="49"/>
      <c r="G71" s="50"/>
      <c r="H71" s="50"/>
      <c r="I71" s="50"/>
      <c r="J71" s="49"/>
      <c r="K71" s="52">
        <v>1531865.9214376772</v>
      </c>
      <c r="N71" s="13">
        <v>20</v>
      </c>
      <c r="O71" s="34"/>
      <c r="P71" s="32"/>
    </row>
    <row r="72" spans="1:16" ht="17" x14ac:dyDescent="0.2">
      <c r="A72" s="68"/>
      <c r="B72" s="70"/>
      <c r="C72" s="72"/>
      <c r="D72" s="74"/>
      <c r="E72" s="50"/>
      <c r="F72" s="50"/>
      <c r="G72" s="49"/>
      <c r="H72" s="49"/>
      <c r="I72" s="50"/>
      <c r="J72" s="51"/>
      <c r="K72" s="52">
        <v>137534.28</v>
      </c>
      <c r="N72" s="17" t="s">
        <v>27</v>
      </c>
      <c r="O72" s="18">
        <f>NPV(P52,O52, O53,O54,O55,O56,O57,O58,O59,O60,O61,O62,O63,O64,O65,O66,O67,O68,O69,O70,O71)</f>
        <v>456054.51591928274</v>
      </c>
      <c r="P72" s="33"/>
    </row>
    <row r="73" spans="1:16" ht="17" x14ac:dyDescent="0.2">
      <c r="A73" s="68"/>
      <c r="B73" s="70"/>
      <c r="C73" s="72"/>
      <c r="D73" s="74"/>
      <c r="E73" s="50"/>
      <c r="F73" s="50"/>
      <c r="G73" s="49"/>
      <c r="H73" s="50"/>
      <c r="I73" s="49"/>
      <c r="J73" s="51"/>
      <c r="K73" s="52">
        <v>443716.18258594943</v>
      </c>
      <c r="N73" s="19" t="s">
        <v>21</v>
      </c>
      <c r="O73" s="22">
        <f>O72-O52</f>
        <v>443716.18258594943</v>
      </c>
      <c r="P73" s="29"/>
    </row>
    <row r="74" spans="1:16" ht="17" thickBot="1" x14ac:dyDescent="0.25">
      <c r="A74" s="69"/>
      <c r="B74" s="71"/>
      <c r="C74" s="73"/>
      <c r="D74" s="75"/>
      <c r="E74" s="57"/>
      <c r="F74" s="57"/>
      <c r="G74" s="58"/>
      <c r="H74" s="57"/>
      <c r="I74" s="57"/>
      <c r="J74" s="58"/>
      <c r="K74" s="55">
        <v>1205459.6812540893</v>
      </c>
    </row>
    <row r="75" spans="1:16" x14ac:dyDescent="0.2">
      <c r="A75" s="49"/>
      <c r="B75" t="s">
        <v>28</v>
      </c>
    </row>
    <row r="76" spans="1:16" x14ac:dyDescent="0.2">
      <c r="A76" s="62" t="s">
        <v>29</v>
      </c>
      <c r="B76" s="62"/>
      <c r="C76" s="62"/>
      <c r="D76" s="62"/>
      <c r="E76" s="62"/>
      <c r="F76" s="62"/>
      <c r="G76" s="62"/>
      <c r="H76" s="62"/>
      <c r="I76" s="62"/>
      <c r="J76" s="62"/>
    </row>
    <row r="81" spans="13:13" x14ac:dyDescent="0.2">
      <c r="M81" s="14">
        <f>M25</f>
        <v>0</v>
      </c>
    </row>
  </sheetData>
  <mergeCells count="36">
    <mergeCell ref="E1:G1"/>
    <mergeCell ref="C3:C11"/>
    <mergeCell ref="A3:A11"/>
    <mergeCell ref="H1:J1"/>
    <mergeCell ref="A12:A20"/>
    <mergeCell ref="C12:C20"/>
    <mergeCell ref="D3:D11"/>
    <mergeCell ref="B3:B11"/>
    <mergeCell ref="D12:D20"/>
    <mergeCell ref="B12:B20"/>
    <mergeCell ref="U18:V18"/>
    <mergeCell ref="Q21:S21"/>
    <mergeCell ref="A21:A29"/>
    <mergeCell ref="B21:B29"/>
    <mergeCell ref="C21:C29"/>
    <mergeCell ref="D21:D29"/>
    <mergeCell ref="A30:A38"/>
    <mergeCell ref="B30:B38"/>
    <mergeCell ref="C30:C38"/>
    <mergeCell ref="D30:D38"/>
    <mergeCell ref="A39:A47"/>
    <mergeCell ref="B39:B47"/>
    <mergeCell ref="C39:C47"/>
    <mergeCell ref="D39:D47"/>
    <mergeCell ref="A66:A74"/>
    <mergeCell ref="B66:B74"/>
    <mergeCell ref="C66:C74"/>
    <mergeCell ref="D66:D74"/>
    <mergeCell ref="A48:A56"/>
    <mergeCell ref="B48:B56"/>
    <mergeCell ref="C48:C56"/>
    <mergeCell ref="D48:D56"/>
    <mergeCell ref="A57:A65"/>
    <mergeCell ref="B57:B65"/>
    <mergeCell ref="C57:C65"/>
    <mergeCell ref="D57:D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8578-592F-CE49-8B52-B25280C069C0}">
  <dimension ref="A1:D11"/>
  <sheetViews>
    <sheetView workbookViewId="0">
      <selection activeCell="A12" sqref="A12"/>
    </sheetView>
  </sheetViews>
  <sheetFormatPr baseColWidth="10" defaultRowHeight="16" x14ac:dyDescent="0.2"/>
  <cols>
    <col min="1" max="1" width="14.1640625" bestFit="1" customWidth="1"/>
    <col min="2" max="2" width="14.1640625" customWidth="1"/>
    <col min="3" max="3" width="13.33203125" customWidth="1"/>
  </cols>
  <sheetData>
    <row r="1" spans="1:4" x14ac:dyDescent="0.2">
      <c r="B1" s="1">
        <v>2010</v>
      </c>
      <c r="C1" s="1">
        <v>2012</v>
      </c>
      <c r="D1" s="3">
        <v>20.12</v>
      </c>
    </row>
    <row r="2" spans="1:4" x14ac:dyDescent="0.2">
      <c r="A2" t="s">
        <v>0</v>
      </c>
      <c r="B2">
        <v>22.7</v>
      </c>
      <c r="C2">
        <v>30.4</v>
      </c>
      <c r="D2" s="2">
        <f t="shared" ref="D2:D9" si="0">C2/total2012*100</f>
        <v>17.04035874439462</v>
      </c>
    </row>
    <row r="3" spans="1:4" x14ac:dyDescent="0.2">
      <c r="A3" t="s">
        <v>1</v>
      </c>
      <c r="B3">
        <v>27.7</v>
      </c>
      <c r="C3">
        <v>27.9</v>
      </c>
      <c r="D3" s="2">
        <f t="shared" si="0"/>
        <v>15.639013452914799</v>
      </c>
    </row>
    <row r="4" spans="1:4" x14ac:dyDescent="0.2">
      <c r="A4" t="s">
        <v>2</v>
      </c>
      <c r="B4">
        <v>78.900000000000006</v>
      </c>
      <c r="C4">
        <v>27.3</v>
      </c>
      <c r="D4" s="2">
        <f t="shared" si="0"/>
        <v>15.302690582959643</v>
      </c>
    </row>
    <row r="5" spans="1:4" x14ac:dyDescent="0.2">
      <c r="A5" t="s">
        <v>5</v>
      </c>
      <c r="B5">
        <v>26.2</v>
      </c>
      <c r="C5">
        <v>23.8</v>
      </c>
      <c r="D5" s="2">
        <f t="shared" si="0"/>
        <v>13.340807174887894</v>
      </c>
    </row>
    <row r="6" spans="1:4" x14ac:dyDescent="0.2">
      <c r="A6" t="s">
        <v>3</v>
      </c>
      <c r="B6">
        <v>29.4</v>
      </c>
      <c r="C6">
        <v>27.4</v>
      </c>
      <c r="D6" s="2">
        <f t="shared" si="0"/>
        <v>15.358744394618833</v>
      </c>
    </row>
    <row r="7" spans="1:4" x14ac:dyDescent="0.2">
      <c r="A7" t="s">
        <v>4</v>
      </c>
      <c r="B7">
        <v>22.8</v>
      </c>
      <c r="C7">
        <v>24.5</v>
      </c>
      <c r="D7" s="2">
        <f t="shared" si="0"/>
        <v>13.733183856502244</v>
      </c>
    </row>
    <row r="8" spans="1:4" x14ac:dyDescent="0.2">
      <c r="A8" t="s">
        <v>6</v>
      </c>
      <c r="B8">
        <v>10.5</v>
      </c>
      <c r="C8">
        <v>10.9</v>
      </c>
      <c r="D8" s="2">
        <f t="shared" si="0"/>
        <v>6.1098654708520188</v>
      </c>
    </row>
    <row r="9" spans="1:4" x14ac:dyDescent="0.2">
      <c r="A9" t="s">
        <v>7</v>
      </c>
      <c r="B9">
        <v>5.7</v>
      </c>
      <c r="C9">
        <v>6.2</v>
      </c>
      <c r="D9" s="2">
        <f t="shared" si="0"/>
        <v>3.4753363228699556</v>
      </c>
    </row>
    <row r="10" spans="1:4" x14ac:dyDescent="0.2">
      <c r="B10">
        <f>SUM(B2:B9)</f>
        <v>223.9</v>
      </c>
      <c r="C10">
        <f>SUM(C2:C9)</f>
        <v>178.39999999999998</v>
      </c>
      <c r="D10" s="2">
        <f>SUM(D2:D9)</f>
        <v>99.999999999999986</v>
      </c>
    </row>
    <row r="11" spans="1:4" x14ac:dyDescent="0.2">
      <c r="A11" t="s">
        <v>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66CF-D54A-0749-9093-060CEB2C7A1D}">
  <dimension ref="A1:D7"/>
  <sheetViews>
    <sheetView zoomScale="130" zoomScaleNormal="130" workbookViewId="0">
      <selection activeCell="A13" sqref="A13"/>
    </sheetView>
  </sheetViews>
  <sheetFormatPr baseColWidth="10" defaultRowHeight="16" x14ac:dyDescent="0.2"/>
  <cols>
    <col min="1" max="1" width="53.33203125" bestFit="1" customWidth="1"/>
    <col min="2" max="2" width="8.1640625" style="5" bestFit="1" customWidth="1"/>
    <col min="3" max="3" width="14.6640625" customWidth="1"/>
  </cols>
  <sheetData>
    <row r="1" spans="1:4" x14ac:dyDescent="0.2">
      <c r="A1" s="102" t="s">
        <v>8</v>
      </c>
      <c r="B1" s="102" t="s">
        <v>9</v>
      </c>
      <c r="C1" s="103" t="s">
        <v>13</v>
      </c>
      <c r="D1" s="4"/>
    </row>
    <row r="2" spans="1:4" x14ac:dyDescent="0.2">
      <c r="A2" s="104" t="s">
        <v>10</v>
      </c>
      <c r="B2" s="105">
        <v>42424</v>
      </c>
      <c r="C2" s="103">
        <v>1</v>
      </c>
    </row>
    <row r="3" spans="1:4" x14ac:dyDescent="0.2">
      <c r="A3" s="104" t="s">
        <v>14</v>
      </c>
      <c r="B3" s="105">
        <v>42733</v>
      </c>
      <c r="C3" s="103">
        <v>2</v>
      </c>
    </row>
    <row r="4" spans="1:4" x14ac:dyDescent="0.2">
      <c r="A4" s="104" t="s">
        <v>12</v>
      </c>
      <c r="B4" s="105">
        <v>42887</v>
      </c>
      <c r="C4" s="103">
        <v>3</v>
      </c>
    </row>
    <row r="5" spans="1:4" x14ac:dyDescent="0.2">
      <c r="A5" s="104" t="s">
        <v>15</v>
      </c>
      <c r="B5" s="105">
        <v>42916</v>
      </c>
      <c r="C5" s="103">
        <v>4</v>
      </c>
    </row>
    <row r="6" spans="1:4" x14ac:dyDescent="0.2">
      <c r="A6" s="104" t="s">
        <v>11</v>
      </c>
      <c r="B6" s="106">
        <v>42930</v>
      </c>
      <c r="C6" s="103">
        <v>5</v>
      </c>
    </row>
    <row r="7" spans="1:4" x14ac:dyDescent="0.2">
      <c r="A7" s="104" t="s">
        <v>16</v>
      </c>
      <c r="B7" s="107">
        <v>42956</v>
      </c>
      <c r="C7" s="103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865-4E3A-7549-930E-D2DC8F360FEB}">
  <dimension ref="A1:C75"/>
  <sheetViews>
    <sheetView workbookViewId="0">
      <selection activeCell="D31" sqref="D31"/>
    </sheetView>
  </sheetViews>
  <sheetFormatPr baseColWidth="10" defaultRowHeight="16" x14ac:dyDescent="0.2"/>
  <cols>
    <col min="1" max="1" width="16.83203125" bestFit="1" customWidth="1"/>
    <col min="2" max="2" width="15" customWidth="1"/>
    <col min="3" max="3" width="15.5" style="6" customWidth="1"/>
    <col min="7" max="7" width="15" bestFit="1" customWidth="1"/>
  </cols>
  <sheetData>
    <row r="1" spans="1:3" x14ac:dyDescent="0.2">
      <c r="A1" s="7" t="s">
        <v>34</v>
      </c>
      <c r="B1" s="7" t="s">
        <v>22</v>
      </c>
      <c r="C1" s="7" t="s">
        <v>21</v>
      </c>
    </row>
    <row r="2" spans="1:3" x14ac:dyDescent="0.2">
      <c r="A2" s="8">
        <v>10000</v>
      </c>
      <c r="B2" s="64" t="s">
        <v>35</v>
      </c>
      <c r="C2" s="65">
        <v>7936966.6534499945</v>
      </c>
    </row>
    <row r="3" spans="1:3" x14ac:dyDescent="0.2">
      <c r="A3" s="8">
        <v>10000</v>
      </c>
      <c r="B3" s="64" t="s">
        <v>36</v>
      </c>
      <c r="C3" s="66">
        <v>6160695.8439275119</v>
      </c>
    </row>
    <row r="4" spans="1:3" x14ac:dyDescent="0.2">
      <c r="A4" s="8">
        <v>10000</v>
      </c>
      <c r="B4" s="64" t="s">
        <v>37</v>
      </c>
      <c r="C4" s="66">
        <v>4847989.8562887302</v>
      </c>
    </row>
    <row r="5" spans="1:3" x14ac:dyDescent="0.2">
      <c r="A5" s="8">
        <v>15000</v>
      </c>
      <c r="B5" s="64" t="s">
        <v>35</v>
      </c>
      <c r="C5" s="65">
        <v>11905449.980174989</v>
      </c>
    </row>
    <row r="6" spans="1:3" x14ac:dyDescent="0.2">
      <c r="A6" s="8">
        <v>15000</v>
      </c>
      <c r="B6" s="64" t="s">
        <v>36</v>
      </c>
      <c r="C6" s="65">
        <v>9241043.7658912688</v>
      </c>
    </row>
    <row r="7" spans="1:3" x14ac:dyDescent="0.2">
      <c r="A7" s="8">
        <v>15000</v>
      </c>
      <c r="B7" s="64" t="s">
        <v>37</v>
      </c>
      <c r="C7" s="65">
        <v>7271984.7844330976</v>
      </c>
    </row>
    <row r="8" spans="1:3" x14ac:dyDescent="0.2">
      <c r="A8" s="8">
        <v>20000</v>
      </c>
      <c r="B8" s="64" t="s">
        <v>35</v>
      </c>
      <c r="C8" s="65">
        <v>15873933.306899989</v>
      </c>
    </row>
    <row r="9" spans="1:3" x14ac:dyDescent="0.2">
      <c r="A9" s="8">
        <v>20000</v>
      </c>
      <c r="B9" s="64" t="s">
        <v>36</v>
      </c>
      <c r="C9" s="65">
        <v>12321391.687855024</v>
      </c>
    </row>
    <row r="10" spans="1:3" x14ac:dyDescent="0.2">
      <c r="A10" s="8">
        <v>20000</v>
      </c>
      <c r="B10" s="64" t="s">
        <v>37</v>
      </c>
      <c r="C10" s="65">
        <v>9695979.7125774603</v>
      </c>
    </row>
    <row r="11" spans="1:3" x14ac:dyDescent="0.2">
      <c r="A11" s="8">
        <v>25000</v>
      </c>
      <c r="B11" s="64" t="s">
        <v>35</v>
      </c>
      <c r="C11" s="65">
        <v>19842416.629999999</v>
      </c>
    </row>
    <row r="12" spans="1:3" x14ac:dyDescent="0.2">
      <c r="A12" s="8">
        <v>25000</v>
      </c>
      <c r="B12" s="64" t="s">
        <v>36</v>
      </c>
      <c r="C12" s="65">
        <v>15401739.609818781</v>
      </c>
    </row>
    <row r="13" spans="1:3" x14ac:dyDescent="0.2">
      <c r="A13" s="8">
        <v>25000</v>
      </c>
      <c r="B13" s="64" t="s">
        <v>37</v>
      </c>
      <c r="C13" s="65">
        <v>12119974.640721826</v>
      </c>
    </row>
    <row r="14" spans="1:3" x14ac:dyDescent="0.2">
      <c r="A14" t="s">
        <v>32</v>
      </c>
      <c r="B14" t="s">
        <v>33</v>
      </c>
      <c r="C14"/>
    </row>
    <row r="15" spans="1:3" x14ac:dyDescent="0.2">
      <c r="C15"/>
    </row>
    <row r="16" spans="1:3" x14ac:dyDescent="0.2">
      <c r="C16"/>
    </row>
    <row r="17" spans="3:3" x14ac:dyDescent="0.2">
      <c r="C17"/>
    </row>
    <row r="18" spans="3:3" x14ac:dyDescent="0.2">
      <c r="C18"/>
    </row>
    <row r="19" spans="3:3" x14ac:dyDescent="0.2">
      <c r="C19"/>
    </row>
    <row r="20" spans="3:3" x14ac:dyDescent="0.2">
      <c r="C20"/>
    </row>
    <row r="21" spans="3:3" x14ac:dyDescent="0.2">
      <c r="C21"/>
    </row>
    <row r="22" spans="3:3" x14ac:dyDescent="0.2">
      <c r="C22"/>
    </row>
    <row r="23" spans="3:3" x14ac:dyDescent="0.2">
      <c r="C23"/>
    </row>
    <row r="24" spans="3:3" x14ac:dyDescent="0.2">
      <c r="C24"/>
    </row>
    <row r="40" spans="3:3" x14ac:dyDescent="0.2">
      <c r="C40"/>
    </row>
    <row r="41" spans="3:3" x14ac:dyDescent="0.2">
      <c r="C41"/>
    </row>
    <row r="42" spans="3:3" x14ac:dyDescent="0.2">
      <c r="C42"/>
    </row>
    <row r="43" spans="3:3" x14ac:dyDescent="0.2">
      <c r="C43"/>
    </row>
    <row r="44" spans="3:3" x14ac:dyDescent="0.2">
      <c r="C44"/>
    </row>
    <row r="45" spans="3:3" x14ac:dyDescent="0.2">
      <c r="C45"/>
    </row>
    <row r="46" spans="3:3" x14ac:dyDescent="0.2">
      <c r="C46"/>
    </row>
    <row r="47" spans="3:3" x14ac:dyDescent="0.2">
      <c r="C47"/>
    </row>
    <row r="48" spans="3:3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81A1-16BE-BB47-B53E-590A4EAC2658}">
  <dimension ref="A1:C14"/>
  <sheetViews>
    <sheetView workbookViewId="0">
      <selection activeCell="R5" sqref="R5"/>
    </sheetView>
  </sheetViews>
  <sheetFormatPr baseColWidth="10" defaultRowHeight="16" x14ac:dyDescent="0.2"/>
  <cols>
    <col min="1" max="1" width="16.83203125" bestFit="1" customWidth="1"/>
    <col min="2" max="2" width="14.83203125" bestFit="1" customWidth="1"/>
    <col min="3" max="3" width="14" bestFit="1" customWidth="1"/>
  </cols>
  <sheetData>
    <row r="1" spans="1:3" x14ac:dyDescent="0.2">
      <c r="A1" s="7" t="s">
        <v>34</v>
      </c>
      <c r="B1" s="7" t="s">
        <v>22</v>
      </c>
      <c r="C1" s="7" t="s">
        <v>21</v>
      </c>
    </row>
    <row r="2" spans="1:3" x14ac:dyDescent="0.2">
      <c r="A2" s="8">
        <v>10000</v>
      </c>
      <c r="B2" s="64" t="s">
        <v>35</v>
      </c>
      <c r="C2" s="63">
        <v>789415.28970248229</v>
      </c>
    </row>
    <row r="3" spans="1:3" x14ac:dyDescent="0.2">
      <c r="A3" s="8">
        <v>10000</v>
      </c>
      <c r="B3" s="64" t="s">
        <v>36</v>
      </c>
      <c r="C3" s="63">
        <v>612746.36857507075</v>
      </c>
    </row>
    <row r="4" spans="1:3" x14ac:dyDescent="0.2">
      <c r="A4" s="8">
        <v>10000</v>
      </c>
      <c r="B4" s="64" t="s">
        <v>37</v>
      </c>
      <c r="C4" s="63">
        <v>482183.87250163552</v>
      </c>
    </row>
    <row r="5" spans="1:3" x14ac:dyDescent="0.2">
      <c r="A5" s="8">
        <v>15000</v>
      </c>
      <c r="B5" s="64" t="s">
        <v>35</v>
      </c>
      <c r="C5" s="67">
        <v>1184122.9345537233</v>
      </c>
    </row>
    <row r="6" spans="1:3" x14ac:dyDescent="0.2">
      <c r="A6" s="8">
        <v>15000</v>
      </c>
      <c r="B6" s="64" t="s">
        <v>36</v>
      </c>
      <c r="C6" s="67">
        <v>919119.55286260624</v>
      </c>
    </row>
    <row r="7" spans="1:3" x14ac:dyDescent="0.2">
      <c r="A7" s="8">
        <v>15000</v>
      </c>
      <c r="B7" s="64" t="s">
        <v>37</v>
      </c>
      <c r="C7" s="63">
        <v>723275.80875245342</v>
      </c>
    </row>
    <row r="8" spans="1:3" x14ac:dyDescent="0.2">
      <c r="A8" s="8">
        <v>20000</v>
      </c>
      <c r="B8" s="64" t="s">
        <v>35</v>
      </c>
      <c r="C8" s="63">
        <v>1578830.5794049646</v>
      </c>
    </row>
    <row r="9" spans="1:3" x14ac:dyDescent="0.2">
      <c r="A9" s="8">
        <v>20000</v>
      </c>
      <c r="B9" s="64" t="s">
        <v>36</v>
      </c>
      <c r="C9" s="63">
        <v>1225492.7371501415</v>
      </c>
    </row>
    <row r="10" spans="1:3" x14ac:dyDescent="0.2">
      <c r="A10" s="8">
        <v>20000</v>
      </c>
      <c r="B10" s="64" t="s">
        <v>37</v>
      </c>
      <c r="C10" s="63">
        <v>964367.74500327103</v>
      </c>
    </row>
    <row r="11" spans="1:3" x14ac:dyDescent="0.2">
      <c r="A11" s="8">
        <v>25000</v>
      </c>
      <c r="B11" s="64" t="s">
        <v>35</v>
      </c>
      <c r="C11" s="63">
        <v>1973538.2242562056</v>
      </c>
    </row>
    <row r="12" spans="1:3" x14ac:dyDescent="0.2">
      <c r="A12" s="8">
        <v>25000</v>
      </c>
      <c r="B12" s="64" t="s">
        <v>36</v>
      </c>
      <c r="C12" s="63">
        <v>1531865.9214376772</v>
      </c>
    </row>
    <row r="13" spans="1:3" x14ac:dyDescent="0.2">
      <c r="A13" s="8">
        <v>25000</v>
      </c>
      <c r="B13" s="64" t="s">
        <v>37</v>
      </c>
      <c r="C13" s="63">
        <v>1205459.6812540893</v>
      </c>
    </row>
    <row r="14" spans="1:3" x14ac:dyDescent="0.2">
      <c r="A14" t="s">
        <v>38</v>
      </c>
      <c r="B14" t="s">
        <v>33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1F105-A150-0D41-81C6-B37F1A2E9F56}">
  <dimension ref="A1:D22"/>
  <sheetViews>
    <sheetView workbookViewId="0">
      <selection activeCell="G17" sqref="G17"/>
    </sheetView>
  </sheetViews>
  <sheetFormatPr baseColWidth="10" defaultRowHeight="16" x14ac:dyDescent="0.2"/>
  <cols>
    <col min="3" max="3" width="13.5" customWidth="1"/>
  </cols>
  <sheetData>
    <row r="1" spans="1:4" x14ac:dyDescent="0.2">
      <c r="B1" s="15" t="s">
        <v>26</v>
      </c>
      <c r="C1" s="15" t="s">
        <v>25</v>
      </c>
      <c r="D1" s="23" t="s">
        <v>24</v>
      </c>
    </row>
    <row r="2" spans="1:4" x14ac:dyDescent="0.2">
      <c r="A2" s="9"/>
      <c r="B2" s="13">
        <v>1</v>
      </c>
      <c r="C2" s="20">
        <f>NPV!D1</f>
        <v>0</v>
      </c>
      <c r="D2" s="26"/>
    </row>
    <row r="3" spans="1:4" x14ac:dyDescent="0.2">
      <c r="A3" s="14">
        <f>C2</f>
        <v>0</v>
      </c>
      <c r="B3" s="13">
        <v>2</v>
      </c>
      <c r="C3" s="21">
        <f>A3*B3</f>
        <v>0</v>
      </c>
      <c r="D3" s="27"/>
    </row>
    <row r="4" spans="1:4" x14ac:dyDescent="0.2">
      <c r="A4" s="14">
        <f>A3</f>
        <v>0</v>
      </c>
      <c r="B4" s="13">
        <v>3</v>
      </c>
      <c r="C4" s="21">
        <f>A4*B4</f>
        <v>0</v>
      </c>
      <c r="D4" s="27"/>
    </row>
    <row r="5" spans="1:4" x14ac:dyDescent="0.2">
      <c r="A5" s="14">
        <f>A4</f>
        <v>0</v>
      </c>
      <c r="B5" s="13">
        <v>4</v>
      </c>
      <c r="C5" s="21">
        <f>A5*B5</f>
        <v>0</v>
      </c>
      <c r="D5" s="27"/>
    </row>
    <row r="6" spans="1:4" x14ac:dyDescent="0.2">
      <c r="A6" s="14">
        <f>A5</f>
        <v>0</v>
      </c>
      <c r="B6" s="13">
        <v>5</v>
      </c>
      <c r="C6" s="21">
        <f>A6*B6</f>
        <v>0</v>
      </c>
      <c r="D6" s="27"/>
    </row>
    <row r="7" spans="1:4" ht="34" x14ac:dyDescent="0.2">
      <c r="A7" s="14"/>
      <c r="B7" s="17" t="s">
        <v>27</v>
      </c>
      <c r="C7" s="22">
        <f>NPV(D2,C2, C3,C4,C5,C6)</f>
        <v>0</v>
      </c>
      <c r="D7" s="28"/>
    </row>
    <row r="8" spans="1:4" ht="17" x14ac:dyDescent="0.2">
      <c r="A8" s="14"/>
      <c r="B8" s="19" t="s">
        <v>21</v>
      </c>
      <c r="C8" s="22">
        <f>C7-C2</f>
        <v>0</v>
      </c>
      <c r="D8" s="29"/>
    </row>
    <row r="9" spans="1:4" x14ac:dyDescent="0.2">
      <c r="A9" s="14"/>
      <c r="B9" s="25"/>
      <c r="C9" s="25"/>
      <c r="D9" s="24"/>
    </row>
    <row r="10" spans="1:4" x14ac:dyDescent="0.2">
      <c r="A10" s="14"/>
      <c r="B10" s="15" t="s">
        <v>26</v>
      </c>
      <c r="C10" s="15" t="s">
        <v>25</v>
      </c>
      <c r="D10" s="23" t="s">
        <v>24</v>
      </c>
    </row>
    <row r="11" spans="1:4" x14ac:dyDescent="0.2">
      <c r="A11" s="14"/>
      <c r="B11" s="13">
        <v>1</v>
      </c>
      <c r="C11" s="20">
        <f>NPV!D15</f>
        <v>0</v>
      </c>
      <c r="D11" s="26"/>
    </row>
    <row r="12" spans="1:4" x14ac:dyDescent="0.2">
      <c r="A12" s="9"/>
      <c r="B12" s="13">
        <v>2</v>
      </c>
      <c r="C12" s="21">
        <f t="shared" ref="C12:C17" si="0">A17*B12</f>
        <v>0</v>
      </c>
      <c r="D12" s="27"/>
    </row>
    <row r="13" spans="1:4" x14ac:dyDescent="0.2">
      <c r="A13" s="9"/>
      <c r="B13" s="13">
        <v>3</v>
      </c>
      <c r="C13" s="21">
        <f t="shared" si="0"/>
        <v>0</v>
      </c>
      <c r="D13" s="27"/>
    </row>
    <row r="14" spans="1:4" x14ac:dyDescent="0.2">
      <c r="B14" s="13">
        <v>4</v>
      </c>
      <c r="C14" s="21">
        <f t="shared" si="0"/>
        <v>0</v>
      </c>
      <c r="D14" s="27"/>
    </row>
    <row r="15" spans="1:4" x14ac:dyDescent="0.2">
      <c r="B15" s="13">
        <v>5</v>
      </c>
      <c r="C15" s="21">
        <f t="shared" si="0"/>
        <v>0</v>
      </c>
      <c r="D15" s="27"/>
    </row>
    <row r="16" spans="1:4" x14ac:dyDescent="0.2">
      <c r="A16" s="9"/>
      <c r="B16" s="13">
        <v>6</v>
      </c>
      <c r="C16" s="21">
        <f t="shared" si="0"/>
        <v>0</v>
      </c>
      <c r="D16" s="27"/>
    </row>
    <row r="17" spans="1:4" x14ac:dyDescent="0.2">
      <c r="A17" s="14">
        <f>C11</f>
        <v>0</v>
      </c>
      <c r="B17" s="13">
        <v>7</v>
      </c>
      <c r="C17" s="21">
        <f t="shared" si="0"/>
        <v>0</v>
      </c>
      <c r="D17" s="27"/>
    </row>
    <row r="18" spans="1:4" x14ac:dyDescent="0.2">
      <c r="A18" s="14">
        <f>A17</f>
        <v>0</v>
      </c>
      <c r="B18" s="13">
        <v>8</v>
      </c>
      <c r="C18" s="21" t="e">
        <f>NPV!#REF!*B18</f>
        <v>#REF!</v>
      </c>
      <c r="D18" s="27"/>
    </row>
    <row r="19" spans="1:4" x14ac:dyDescent="0.2">
      <c r="A19" s="14">
        <f>A18</f>
        <v>0</v>
      </c>
      <c r="B19" s="13">
        <v>9</v>
      </c>
      <c r="C19" s="21" t="e">
        <f>NPV!M3*B19</f>
        <v>#REF!</v>
      </c>
      <c r="D19" s="28"/>
    </row>
    <row r="20" spans="1:4" x14ac:dyDescent="0.2">
      <c r="A20" s="14">
        <f>A19</f>
        <v>0</v>
      </c>
      <c r="B20" s="13">
        <v>10</v>
      </c>
      <c r="C20" s="21">
        <f>NPV!M4*B20</f>
        <v>0</v>
      </c>
      <c r="D20" s="28"/>
    </row>
    <row r="21" spans="1:4" ht="34" x14ac:dyDescent="0.2">
      <c r="A21" s="14">
        <f>A20</f>
        <v>0</v>
      </c>
      <c r="B21" s="17" t="s">
        <v>27</v>
      </c>
      <c r="C21" s="22" t="e">
        <f>NPV(D11,C11, C12,C13,C14,C15,C16,C17,C18,C19,C20)</f>
        <v>#REF!</v>
      </c>
      <c r="D21" s="28"/>
    </row>
    <row r="22" spans="1:4" ht="17" x14ac:dyDescent="0.2">
      <c r="A22" s="14">
        <f>A21</f>
        <v>0</v>
      </c>
      <c r="B22" s="19" t="s">
        <v>21</v>
      </c>
      <c r="C22" s="22" t="e">
        <f>C21-C11</f>
        <v>#REF!</v>
      </c>
      <c r="D22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NPV</vt:lpstr>
      <vt:lpstr>GEI</vt:lpstr>
      <vt:lpstr>Timetable Legislation</vt:lpstr>
      <vt:lpstr>High C Seq Scenario</vt:lpstr>
      <vt:lpstr>Low C Seq Scenario</vt:lpstr>
      <vt:lpstr>NPV Calculation Tables</vt:lpstr>
      <vt:lpstr>initial</vt:lpstr>
      <vt:lpstr>initial2</vt:lpstr>
      <vt:lpstr>initial3</vt:lpstr>
      <vt:lpstr>total2012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2018-10-16T16:07:33Z</dcterms:created>
  <dcterms:modified xsi:type="dcterms:W3CDTF">2019-01-30T01:30:08Z</dcterms:modified>
</cp:coreProperties>
</file>